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050" windowWidth="19260" windowHeight="4740" firstSheet="2" activeTab="2"/>
  </bookViews>
  <sheets>
    <sheet name="Val Verde" sheetId="6" state="hidden" r:id="rId1"/>
    <sheet name="County Sample Sizes" sheetId="27" r:id="rId2"/>
    <sheet name="Survey returns" sheetId="14" r:id="rId3"/>
    <sheet name="Check survey and lot logs" sheetId="25" state="hidden" r:id="rId4"/>
    <sheet name="Weights" sheetId="16" r:id="rId5"/>
    <sheet name="percentiles_mse" sheetId="23" r:id="rId6"/>
    <sheet name="Graphs" sheetId="28" r:id="rId7"/>
  </sheets>
  <definedNames>
    <definedName name="_xlnm.Print_Area" localSheetId="2">'Survey returns'!$A$1:$S$54</definedName>
  </definedNames>
  <calcPr calcId="125725"/>
</workbook>
</file>

<file path=xl/calcChain.xml><?xml version="1.0" encoding="utf-8"?>
<calcChain xmlns="http://schemas.openxmlformats.org/spreadsheetml/2006/main">
  <c r="A4" i="23"/>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G13" i="27"/>
  <c r="F13"/>
  <c r="E13"/>
  <c r="D13"/>
  <c r="C13"/>
  <c r="H11" i="16" l="1"/>
  <c r="N18" i="14"/>
  <c r="M18"/>
  <c r="L18"/>
  <c r="K18"/>
  <c r="J18"/>
  <c r="N17"/>
  <c r="M17"/>
  <c r="L17"/>
  <c r="K17"/>
  <c r="J17"/>
  <c r="N16"/>
  <c r="M16"/>
  <c r="L16"/>
  <c r="K16"/>
  <c r="J16"/>
  <c r="N15"/>
  <c r="M15"/>
  <c r="L15"/>
  <c r="K15"/>
  <c r="J15"/>
  <c r="N14"/>
  <c r="M14"/>
  <c r="L14"/>
  <c r="K14"/>
  <c r="J14"/>
  <c r="N13"/>
  <c r="M13"/>
  <c r="L13"/>
  <c r="K13"/>
  <c r="L19" l="1"/>
  <c r="M19"/>
  <c r="K19"/>
  <c r="N19"/>
  <c r="O50" i="16" l="1"/>
  <c r="F14" i="14" l="1"/>
  <c r="F15"/>
  <c r="F16"/>
  <c r="F17"/>
  <c r="F18"/>
  <c r="F13"/>
  <c r="H19"/>
  <c r="G19"/>
  <c r="G31"/>
  <c r="F31"/>
  <c r="H30"/>
  <c r="H29"/>
  <c r="H28"/>
  <c r="H27"/>
  <c r="H26"/>
  <c r="H25"/>
  <c r="H31" l="1"/>
  <c r="F19"/>
  <c r="L12" i="25"/>
  <c r="M12"/>
  <c r="N12"/>
  <c r="K7"/>
  <c r="K8"/>
  <c r="K9"/>
  <c r="K10"/>
  <c r="K11"/>
  <c r="K6"/>
  <c r="K12" s="1"/>
  <c r="J12"/>
  <c r="I12"/>
  <c r="G12"/>
  <c r="F12"/>
  <c r="D12"/>
  <c r="C12"/>
  <c r="H11"/>
  <c r="E11"/>
  <c r="H10"/>
  <c r="E10"/>
  <c r="H9"/>
  <c r="E9"/>
  <c r="H8"/>
  <c r="E8"/>
  <c r="H7"/>
  <c r="E7"/>
  <c r="H6"/>
  <c r="H12" s="1"/>
  <c r="E6"/>
  <c r="E12" s="1"/>
  <c r="M76" i="16"/>
  <c r="N76"/>
  <c r="N68"/>
  <c r="M68"/>
  <c r="M57"/>
  <c r="N57"/>
  <c r="M49"/>
  <c r="N22"/>
  <c r="M36"/>
  <c r="N49"/>
  <c r="N36"/>
  <c r="AJ50"/>
  <c r="AJ43"/>
  <c r="AJ27"/>
  <c r="H24"/>
  <c r="H25"/>
  <c r="H26"/>
  <c r="H27"/>
  <c r="H28"/>
  <c r="H29"/>
  <c r="H30"/>
  <c r="H31"/>
  <c r="H32"/>
  <c r="H33"/>
  <c r="E36"/>
  <c r="F24" s="1"/>
  <c r="E22"/>
  <c r="F11" s="1"/>
  <c r="H43"/>
  <c r="H38"/>
  <c r="H37"/>
  <c r="E49"/>
  <c r="F38" s="1"/>
  <c r="I11" l="1"/>
  <c r="J11" s="1"/>
  <c r="F23"/>
  <c r="F31"/>
  <c r="F29"/>
  <c r="F27"/>
  <c r="F25"/>
  <c r="F33"/>
  <c r="F32"/>
  <c r="F30"/>
  <c r="F28"/>
  <c r="F26"/>
  <c r="F41"/>
  <c r="F43"/>
  <c r="F39"/>
  <c r="F37"/>
  <c r="F42"/>
  <c r="F40"/>
  <c r="F35"/>
  <c r="G35" s="1"/>
  <c r="O35"/>
  <c r="T35"/>
  <c r="T37"/>
  <c r="T44"/>
  <c r="O44"/>
  <c r="F36" l="1"/>
  <c r="I23"/>
  <c r="F49"/>
  <c r="H39"/>
  <c r="H40"/>
  <c r="H41"/>
  <c r="H42"/>
  <c r="I39" l="1"/>
  <c r="J39" s="1"/>
  <c r="G42"/>
  <c r="I37"/>
  <c r="G38"/>
  <c r="G39"/>
  <c r="H12"/>
  <c r="H13"/>
  <c r="H14"/>
  <c r="H15"/>
  <c r="H70"/>
  <c r="H71"/>
  <c r="H72"/>
  <c r="H73"/>
  <c r="H74"/>
  <c r="H75"/>
  <c r="H69"/>
  <c r="H51"/>
  <c r="H52"/>
  <c r="H53"/>
  <c r="H54"/>
  <c r="H55"/>
  <c r="H56"/>
  <c r="H50"/>
  <c r="H59"/>
  <c r="H60"/>
  <c r="H61"/>
  <c r="H62"/>
  <c r="H63"/>
  <c r="H64"/>
  <c r="H65"/>
  <c r="H66"/>
  <c r="H67"/>
  <c r="H58"/>
  <c r="E57"/>
  <c r="F52" s="1"/>
  <c r="I52" s="1"/>
  <c r="J52" s="1"/>
  <c r="K52" s="1"/>
  <c r="T56"/>
  <c r="O56"/>
  <c r="T55"/>
  <c r="O55"/>
  <c r="T54"/>
  <c r="O54"/>
  <c r="T53"/>
  <c r="O53"/>
  <c r="T52"/>
  <c r="O52"/>
  <c r="T51"/>
  <c r="O51"/>
  <c r="T50"/>
  <c r="H23"/>
  <c r="E76"/>
  <c r="T75"/>
  <c r="O75"/>
  <c r="F75"/>
  <c r="I75" s="1"/>
  <c r="J75" s="1"/>
  <c r="K75" s="1"/>
  <c r="T74"/>
  <c r="O74"/>
  <c r="F74"/>
  <c r="I74" s="1"/>
  <c r="T73"/>
  <c r="O73"/>
  <c r="F73"/>
  <c r="I73" s="1"/>
  <c r="J73" s="1"/>
  <c r="K73" s="1"/>
  <c r="T72"/>
  <c r="O72"/>
  <c r="F72"/>
  <c r="I72" s="1"/>
  <c r="T71"/>
  <c r="O71"/>
  <c r="F71"/>
  <c r="I71" s="1"/>
  <c r="J71" s="1"/>
  <c r="K71" s="1"/>
  <c r="T70"/>
  <c r="O70"/>
  <c r="F70"/>
  <c r="I70" s="1"/>
  <c r="T69"/>
  <c r="O69"/>
  <c r="F69"/>
  <c r="I69" s="1"/>
  <c r="E68"/>
  <c r="F67" s="1"/>
  <c r="T67"/>
  <c r="O67"/>
  <c r="T66"/>
  <c r="O66"/>
  <c r="T65"/>
  <c r="O65"/>
  <c r="T64"/>
  <c r="O64"/>
  <c r="T63"/>
  <c r="O63"/>
  <c r="T62"/>
  <c r="O62"/>
  <c r="T61"/>
  <c r="O61"/>
  <c r="F61"/>
  <c r="T60"/>
  <c r="O60"/>
  <c r="T59"/>
  <c r="O59"/>
  <c r="T58"/>
  <c r="O58"/>
  <c r="T47"/>
  <c r="O47"/>
  <c r="O48"/>
  <c r="T46"/>
  <c r="O46"/>
  <c r="T45"/>
  <c r="O45"/>
  <c r="T43"/>
  <c r="V43" s="1"/>
  <c r="W43" s="1"/>
  <c r="X43" s="1"/>
  <c r="T42"/>
  <c r="O42"/>
  <c r="T41"/>
  <c r="O41"/>
  <c r="T40"/>
  <c r="O40"/>
  <c r="T39"/>
  <c r="O39"/>
  <c r="T38"/>
  <c r="O38"/>
  <c r="O37"/>
  <c r="T34"/>
  <c r="O34"/>
  <c r="T33"/>
  <c r="O33"/>
  <c r="I33"/>
  <c r="J33" s="1"/>
  <c r="K33" s="1"/>
  <c r="T32"/>
  <c r="O32"/>
  <c r="I32"/>
  <c r="J32" s="1"/>
  <c r="K32" s="1"/>
  <c r="T31"/>
  <c r="O31"/>
  <c r="I31"/>
  <c r="J31" s="1"/>
  <c r="K31" s="1"/>
  <c r="T30"/>
  <c r="O30"/>
  <c r="I30"/>
  <c r="J30" s="1"/>
  <c r="K30" s="1"/>
  <c r="T29"/>
  <c r="O29"/>
  <c r="I29"/>
  <c r="J29" s="1"/>
  <c r="K29" s="1"/>
  <c r="T28"/>
  <c r="O28"/>
  <c r="I28"/>
  <c r="J28" s="1"/>
  <c r="K28" s="1"/>
  <c r="T27"/>
  <c r="V27" s="1"/>
  <c r="W27" s="1"/>
  <c r="I27"/>
  <c r="T26"/>
  <c r="O26"/>
  <c r="I26"/>
  <c r="J26" s="1"/>
  <c r="K26" s="1"/>
  <c r="T25"/>
  <c r="O25"/>
  <c r="I25"/>
  <c r="T24"/>
  <c r="O24"/>
  <c r="I24"/>
  <c r="J24" s="1"/>
  <c r="K24" s="1"/>
  <c r="T23"/>
  <c r="O23"/>
  <c r="T21"/>
  <c r="O21"/>
  <c r="T20"/>
  <c r="O20"/>
  <c r="T19"/>
  <c r="O19"/>
  <c r="T18"/>
  <c r="O18"/>
  <c r="T15"/>
  <c r="O15"/>
  <c r="T14"/>
  <c r="P14"/>
  <c r="J13" i="14" s="1"/>
  <c r="J19" s="1"/>
  <c r="N4" s="1"/>
  <c r="M14" i="16"/>
  <c r="T17"/>
  <c r="O17"/>
  <c r="T13"/>
  <c r="O13"/>
  <c r="T16"/>
  <c r="O16"/>
  <c r="T12"/>
  <c r="O12"/>
  <c r="T11"/>
  <c r="O11"/>
  <c r="AJ15" l="1"/>
  <c r="O36"/>
  <c r="AJ12"/>
  <c r="AJ13"/>
  <c r="J70"/>
  <c r="K70" s="1"/>
  <c r="J72"/>
  <c r="K72" s="1"/>
  <c r="J74"/>
  <c r="K74" s="1"/>
  <c r="AJ30"/>
  <c r="AJ39"/>
  <c r="AJ11"/>
  <c r="O14"/>
  <c r="M22"/>
  <c r="AJ33"/>
  <c r="AJ37"/>
  <c r="AJ61"/>
  <c r="AJ62"/>
  <c r="AJ63"/>
  <c r="AJ64"/>
  <c r="AJ65"/>
  <c r="AJ66"/>
  <c r="AJ67"/>
  <c r="I67"/>
  <c r="J67" s="1"/>
  <c r="K67" s="1"/>
  <c r="AJ69"/>
  <c r="N6" i="14"/>
  <c r="AJ28" i="16"/>
  <c r="AJ38"/>
  <c r="AJ58"/>
  <c r="O68"/>
  <c r="AJ59"/>
  <c r="AJ60"/>
  <c r="I61"/>
  <c r="J61" s="1"/>
  <c r="K61" s="1"/>
  <c r="AJ32"/>
  <c r="AJ31"/>
  <c r="AJ29"/>
  <c r="AJ26"/>
  <c r="AJ25"/>
  <c r="AJ24"/>
  <c r="AJ23"/>
  <c r="AJ42"/>
  <c r="AJ41"/>
  <c r="AJ40"/>
  <c r="AJ56"/>
  <c r="AJ55"/>
  <c r="AJ54"/>
  <c r="AJ53"/>
  <c r="AJ52"/>
  <c r="AJ51"/>
  <c r="AJ57" s="1"/>
  <c r="O57"/>
  <c r="AJ75"/>
  <c r="AJ74"/>
  <c r="AJ73"/>
  <c r="AJ71"/>
  <c r="AJ72"/>
  <c r="AJ70"/>
  <c r="O76"/>
  <c r="O49"/>
  <c r="Y43"/>
  <c r="O22"/>
  <c r="J37"/>
  <c r="K37" s="1"/>
  <c r="L37" s="1"/>
  <c r="F59"/>
  <c r="F64"/>
  <c r="I42"/>
  <c r="J42" s="1"/>
  <c r="J25"/>
  <c r="K25" s="1"/>
  <c r="J27"/>
  <c r="K27" s="1"/>
  <c r="F58"/>
  <c r="F60"/>
  <c r="F62"/>
  <c r="F66"/>
  <c r="J69"/>
  <c r="K69" s="1"/>
  <c r="I38"/>
  <c r="J38" s="1"/>
  <c r="K38" s="1"/>
  <c r="G40"/>
  <c r="I40"/>
  <c r="J40" s="1"/>
  <c r="K40" s="1"/>
  <c r="L40" s="1"/>
  <c r="I41"/>
  <c r="J41" s="1"/>
  <c r="K41" s="1"/>
  <c r="L41" s="1"/>
  <c r="G41"/>
  <c r="V38"/>
  <c r="W38" s="1"/>
  <c r="X38" s="1"/>
  <c r="V39"/>
  <c r="W39" s="1"/>
  <c r="X39" s="1"/>
  <c r="V41"/>
  <c r="W41" s="1"/>
  <c r="X41" s="1"/>
  <c r="G43"/>
  <c r="I43"/>
  <c r="J43" s="1"/>
  <c r="K43" s="1"/>
  <c r="V42"/>
  <c r="W42" s="1"/>
  <c r="X42" s="1"/>
  <c r="V40"/>
  <c r="W40" s="1"/>
  <c r="X40" s="1"/>
  <c r="V37"/>
  <c r="W37" s="1"/>
  <c r="X37" s="1"/>
  <c r="K39"/>
  <c r="L39" s="1"/>
  <c r="K42"/>
  <c r="L42" s="1"/>
  <c r="V51"/>
  <c r="V55"/>
  <c r="V28"/>
  <c r="V29"/>
  <c r="W29" s="1"/>
  <c r="X29" s="1"/>
  <c r="V31"/>
  <c r="W31" s="1"/>
  <c r="V33"/>
  <c r="W33" s="1"/>
  <c r="X33" s="1"/>
  <c r="G37"/>
  <c r="V69"/>
  <c r="W69" s="1"/>
  <c r="V71"/>
  <c r="V73"/>
  <c r="W73" s="1"/>
  <c r="X73" s="1"/>
  <c r="V53"/>
  <c r="F50"/>
  <c r="F53"/>
  <c r="I53" s="1"/>
  <c r="J53" s="1"/>
  <c r="K53" s="1"/>
  <c r="F55"/>
  <c r="I55" s="1"/>
  <c r="J55" s="1"/>
  <c r="K55" s="1"/>
  <c r="F51"/>
  <c r="I51" s="1"/>
  <c r="J51" s="1"/>
  <c r="K51" s="1"/>
  <c r="V11"/>
  <c r="W11" s="1"/>
  <c r="F12"/>
  <c r="V16"/>
  <c r="F13"/>
  <c r="V17"/>
  <c r="F14"/>
  <c r="F15"/>
  <c r="V18"/>
  <c r="V20"/>
  <c r="V24"/>
  <c r="W24" s="1"/>
  <c r="V26"/>
  <c r="W26" s="1"/>
  <c r="V30"/>
  <c r="W30" s="1"/>
  <c r="X30" s="1"/>
  <c r="V32"/>
  <c r="V58"/>
  <c r="V60"/>
  <c r="W60" s="1"/>
  <c r="V62"/>
  <c r="F63"/>
  <c r="V64"/>
  <c r="F65"/>
  <c r="V66"/>
  <c r="V70"/>
  <c r="V72"/>
  <c r="W72" s="1"/>
  <c r="X72" s="1"/>
  <c r="V74"/>
  <c r="V50"/>
  <c r="W50" s="1"/>
  <c r="V52"/>
  <c r="W52" s="1"/>
  <c r="X52" s="1"/>
  <c r="V54"/>
  <c r="V56"/>
  <c r="W56" s="1"/>
  <c r="F56"/>
  <c r="I56" s="1"/>
  <c r="J56" s="1"/>
  <c r="K56" s="1"/>
  <c r="L56" s="1"/>
  <c r="F54"/>
  <c r="I54" s="1"/>
  <c r="J54" s="1"/>
  <c r="K54" s="1"/>
  <c r="L54" s="1"/>
  <c r="K11"/>
  <c r="X11" s="1"/>
  <c r="V12"/>
  <c r="W12" s="1"/>
  <c r="V13"/>
  <c r="W13" s="1"/>
  <c r="V15"/>
  <c r="W15" s="1"/>
  <c r="V19"/>
  <c r="W19" s="1"/>
  <c r="V21"/>
  <c r="V23"/>
  <c r="W23" s="1"/>
  <c r="V25"/>
  <c r="G28"/>
  <c r="G29"/>
  <c r="G30"/>
  <c r="G31"/>
  <c r="G32"/>
  <c r="G33"/>
  <c r="V59"/>
  <c r="W59" s="1"/>
  <c r="V61"/>
  <c r="V63"/>
  <c r="W63" s="1"/>
  <c r="V65"/>
  <c r="V67"/>
  <c r="W67" s="1"/>
  <c r="X67" s="1"/>
  <c r="V75"/>
  <c r="W75" s="1"/>
  <c r="X75" s="1"/>
  <c r="L51"/>
  <c r="L52"/>
  <c r="L53"/>
  <c r="L55"/>
  <c r="G50"/>
  <c r="G51"/>
  <c r="W51"/>
  <c r="G52"/>
  <c r="G53"/>
  <c r="W53"/>
  <c r="G54"/>
  <c r="W54"/>
  <c r="G55"/>
  <c r="W55"/>
  <c r="V14"/>
  <c r="W14" s="1"/>
  <c r="L28"/>
  <c r="L29"/>
  <c r="L31"/>
  <c r="L33"/>
  <c r="L24"/>
  <c r="L25"/>
  <c r="L26"/>
  <c r="X27"/>
  <c r="L27"/>
  <c r="L30"/>
  <c r="L32"/>
  <c r="G11"/>
  <c r="G12"/>
  <c r="W16"/>
  <c r="G13"/>
  <c r="W17"/>
  <c r="G14"/>
  <c r="G15"/>
  <c r="W18"/>
  <c r="X18" s="1"/>
  <c r="Y18" s="1"/>
  <c r="W20"/>
  <c r="W21"/>
  <c r="G23"/>
  <c r="G24"/>
  <c r="G25"/>
  <c r="G26"/>
  <c r="X26"/>
  <c r="G27"/>
  <c r="G58"/>
  <c r="W58"/>
  <c r="G59"/>
  <c r="G60"/>
  <c r="G61"/>
  <c r="L61"/>
  <c r="W61"/>
  <c r="X61" s="1"/>
  <c r="G62"/>
  <c r="W62"/>
  <c r="G63"/>
  <c r="G64"/>
  <c r="W64"/>
  <c r="G65"/>
  <c r="W65"/>
  <c r="G66"/>
  <c r="W66"/>
  <c r="G67"/>
  <c r="F68"/>
  <c r="G69"/>
  <c r="L69"/>
  <c r="G70"/>
  <c r="L70"/>
  <c r="W70"/>
  <c r="G71"/>
  <c r="L71"/>
  <c r="W71"/>
  <c r="X71" s="1"/>
  <c r="G72"/>
  <c r="L72"/>
  <c r="G73"/>
  <c r="L73"/>
  <c r="G74"/>
  <c r="L74"/>
  <c r="W74"/>
  <c r="G75"/>
  <c r="L75"/>
  <c r="F76"/>
  <c r="O25" i="6"/>
  <c r="P25" s="1"/>
  <c r="Q25" s="1"/>
  <c r="N25"/>
  <c r="O24"/>
  <c r="P24" s="1"/>
  <c r="Q24" s="1"/>
  <c r="N24"/>
  <c r="O23"/>
  <c r="P23" s="1"/>
  <c r="Q23" s="1"/>
  <c r="N23"/>
  <c r="O22"/>
  <c r="P22" s="1"/>
  <c r="Q22" s="1"/>
  <c r="N22"/>
  <c r="O21"/>
  <c r="P21" s="1"/>
  <c r="Q21" s="1"/>
  <c r="N21"/>
  <c r="O20"/>
  <c r="P20" s="1"/>
  <c r="Q20" s="1"/>
  <c r="N20"/>
  <c r="O19"/>
  <c r="P19" s="1"/>
  <c r="Q19" s="1"/>
  <c r="N19"/>
  <c r="O18"/>
  <c r="P18" s="1"/>
  <c r="Q18" s="1"/>
  <c r="N18"/>
  <c r="P17"/>
  <c r="O17"/>
  <c r="N17"/>
  <c r="P16"/>
  <c r="Q16" s="1"/>
  <c r="O16"/>
  <c r="N16"/>
  <c r="O15"/>
  <c r="P15" s="1"/>
  <c r="N15"/>
  <c r="O14"/>
  <c r="P14" s="1"/>
  <c r="Q14" s="1"/>
  <c r="N14"/>
  <c r="O13"/>
  <c r="P13" s="1"/>
  <c r="Q13" s="1"/>
  <c r="N13"/>
  <c r="P12"/>
  <c r="O12"/>
  <c r="N12"/>
  <c r="P11"/>
  <c r="Q11" s="1"/>
  <c r="O11"/>
  <c r="N11"/>
  <c r="C6"/>
  <c r="H5"/>
  <c r="D5"/>
  <c r="C1" l="1"/>
  <c r="Y37" i="16"/>
  <c r="AJ14"/>
  <c r="AJ68"/>
  <c r="Y26"/>
  <c r="Y27"/>
  <c r="Y30"/>
  <c r="Y33"/>
  <c r="Y29"/>
  <c r="X74"/>
  <c r="X70"/>
  <c r="L67"/>
  <c r="X53"/>
  <c r="X69"/>
  <c r="N5" i="14"/>
  <c r="L38" i="16"/>
  <c r="I65"/>
  <c r="J65" s="1"/>
  <c r="K65" s="1"/>
  <c r="I63"/>
  <c r="J63" s="1"/>
  <c r="K63" s="1"/>
  <c r="I50"/>
  <c r="J50" s="1"/>
  <c r="K50" s="1"/>
  <c r="L50" s="1"/>
  <c r="L43"/>
  <c r="I62"/>
  <c r="J62" s="1"/>
  <c r="K62" s="1"/>
  <c r="I58"/>
  <c r="J58" s="1"/>
  <c r="K58" s="1"/>
  <c r="I64"/>
  <c r="J64" s="1"/>
  <c r="K64" s="1"/>
  <c r="X65"/>
  <c r="G56"/>
  <c r="AJ76"/>
  <c r="I66"/>
  <c r="J66" s="1"/>
  <c r="K66" s="1"/>
  <c r="I60"/>
  <c r="J60" s="1"/>
  <c r="K60" s="1"/>
  <c r="I59"/>
  <c r="J59" s="1"/>
  <c r="K59" s="1"/>
  <c r="X59" s="1"/>
  <c r="AJ22"/>
  <c r="L11"/>
  <c r="L62"/>
  <c r="L64"/>
  <c r="L60"/>
  <c r="X58"/>
  <c r="X63"/>
  <c r="AJ36"/>
  <c r="AJ49"/>
  <c r="Y52"/>
  <c r="L49"/>
  <c r="W25"/>
  <c r="X25" s="1"/>
  <c r="X24"/>
  <c r="F22"/>
  <c r="X31"/>
  <c r="W32"/>
  <c r="X32" s="1"/>
  <c r="W28"/>
  <c r="X28" s="1"/>
  <c r="Y70"/>
  <c r="Y65"/>
  <c r="Y61"/>
  <c r="Y74"/>
  <c r="Y71"/>
  <c r="Y58"/>
  <c r="Y67"/>
  <c r="Y42"/>
  <c r="Y39"/>
  <c r="Y72"/>
  <c r="Y75"/>
  <c r="Y73"/>
  <c r="Y69"/>
  <c r="Y40"/>
  <c r="Y41"/>
  <c r="Y38"/>
  <c r="J23"/>
  <c r="K23" s="1"/>
  <c r="X23" s="1"/>
  <c r="Y23" s="1"/>
  <c r="X56"/>
  <c r="X60"/>
  <c r="X62"/>
  <c r="F57"/>
  <c r="L65"/>
  <c r="X64"/>
  <c r="L63"/>
  <c r="X17"/>
  <c r="Y17" s="1"/>
  <c r="X16"/>
  <c r="Y16" s="1"/>
  <c r="X55"/>
  <c r="X54"/>
  <c r="X51"/>
  <c r="X50"/>
  <c r="I14"/>
  <c r="J14" s="1"/>
  <c r="K14" s="1"/>
  <c r="I13"/>
  <c r="J13" s="1"/>
  <c r="K13" s="1"/>
  <c r="I12"/>
  <c r="J12" s="1"/>
  <c r="K12" s="1"/>
  <c r="X20"/>
  <c r="Y20" s="1"/>
  <c r="I15"/>
  <c r="J15" s="1"/>
  <c r="K15" s="1"/>
  <c r="L57"/>
  <c r="X66"/>
  <c r="L66"/>
  <c r="X21"/>
  <c r="Y21" s="1"/>
  <c r="L76"/>
  <c r="Y63" l="1"/>
  <c r="Y59"/>
  <c r="Y53"/>
  <c r="Y51"/>
  <c r="Y55"/>
  <c r="Y31"/>
  <c r="Y24"/>
  <c r="Y32"/>
  <c r="Y25"/>
  <c r="Y28"/>
  <c r="L15"/>
  <c r="L12"/>
  <c r="L14"/>
  <c r="L59"/>
  <c r="L58"/>
  <c r="L68" s="1"/>
  <c r="Y49"/>
  <c r="Z43" s="1"/>
  <c r="Y76"/>
  <c r="Z70" s="1"/>
  <c r="Y54"/>
  <c r="Y56"/>
  <c r="Y66"/>
  <c r="Y64"/>
  <c r="Y60"/>
  <c r="Y62"/>
  <c r="L23"/>
  <c r="L36" s="1"/>
  <c r="Y36"/>
  <c r="Z23" s="1"/>
  <c r="Y11"/>
  <c r="Y50"/>
  <c r="L13"/>
  <c r="X13"/>
  <c r="L22"/>
  <c r="X12"/>
  <c r="X19"/>
  <c r="Y19" s="1"/>
  <c r="X14"/>
  <c r="X15"/>
  <c r="AA43" l="1"/>
  <c r="AB43"/>
  <c r="AC43" s="1"/>
  <c r="AD43" s="1"/>
  <c r="AA70"/>
  <c r="AB70"/>
  <c r="AC70" s="1"/>
  <c r="AD70" s="1"/>
  <c r="Z71"/>
  <c r="Z69"/>
  <c r="Z38"/>
  <c r="Z75"/>
  <c r="Z39"/>
  <c r="Z72"/>
  <c r="AA23"/>
  <c r="AB23"/>
  <c r="Z41"/>
  <c r="Z42"/>
  <c r="Z74"/>
  <c r="Z40"/>
  <c r="Z37"/>
  <c r="Z73"/>
  <c r="Z26"/>
  <c r="Z27"/>
  <c r="Z30"/>
  <c r="Z33"/>
  <c r="Z29"/>
  <c r="Y68"/>
  <c r="Z67" s="1"/>
  <c r="Z28"/>
  <c r="Z25"/>
  <c r="Z32"/>
  <c r="Z24"/>
  <c r="Z31"/>
  <c r="Y57"/>
  <c r="Y14"/>
  <c r="Y12"/>
  <c r="Y15"/>
  <c r="Y13"/>
  <c r="AB67" l="1"/>
  <c r="AC67" s="1"/>
  <c r="AD67" s="1"/>
  <c r="AA67"/>
  <c r="Z52"/>
  <c r="Z53"/>
  <c r="Z50"/>
  <c r="Z51"/>
  <c r="Z55"/>
  <c r="Z54"/>
  <c r="Z56"/>
  <c r="AB73"/>
  <c r="AC73" s="1"/>
  <c r="AA73"/>
  <c r="AA40"/>
  <c r="AB40"/>
  <c r="AC40" s="1"/>
  <c r="AA74"/>
  <c r="AB74"/>
  <c r="AC74" s="1"/>
  <c r="AA41"/>
  <c r="AB41"/>
  <c r="AC41" s="1"/>
  <c r="AB39"/>
  <c r="AC39" s="1"/>
  <c r="AA39"/>
  <c r="AA38"/>
  <c r="AB38"/>
  <c r="AC38" s="1"/>
  <c r="AB71"/>
  <c r="AC71" s="1"/>
  <c r="AA71"/>
  <c r="Z59"/>
  <c r="Z66"/>
  <c r="Z58"/>
  <c r="Z61"/>
  <c r="AB37"/>
  <c r="AC37" s="1"/>
  <c r="AD37" s="1"/>
  <c r="AA37"/>
  <c r="AA49" s="1"/>
  <c r="AA42"/>
  <c r="AB42"/>
  <c r="AC42" s="1"/>
  <c r="AA72"/>
  <c r="AB72"/>
  <c r="AC72" s="1"/>
  <c r="AB75"/>
  <c r="AC75" s="1"/>
  <c r="AA75"/>
  <c r="AA69"/>
  <c r="AB69"/>
  <c r="AC69" s="1"/>
  <c r="Z63"/>
  <c r="Z62"/>
  <c r="Z60"/>
  <c r="Z65"/>
  <c r="Z64"/>
  <c r="AB31"/>
  <c r="AC31" s="1"/>
  <c r="AA31"/>
  <c r="AB32"/>
  <c r="AC32" s="1"/>
  <c r="AA32"/>
  <c r="AB28"/>
  <c r="AC28" s="1"/>
  <c r="AA28"/>
  <c r="AB29"/>
  <c r="AC29" s="1"/>
  <c r="AA29"/>
  <c r="AB30"/>
  <c r="AC30" s="1"/>
  <c r="AA30"/>
  <c r="AB26"/>
  <c r="AC26" s="1"/>
  <c r="AA26"/>
  <c r="AB24"/>
  <c r="AC24" s="1"/>
  <c r="AA24"/>
  <c r="AB25"/>
  <c r="AC25" s="1"/>
  <c r="AD25" s="1"/>
  <c r="AA25"/>
  <c r="AB33"/>
  <c r="AC33" s="1"/>
  <c r="AA33"/>
  <c r="AB27"/>
  <c r="AC27" s="1"/>
  <c r="AA27"/>
  <c r="AD24"/>
  <c r="AD33"/>
  <c r="AD31"/>
  <c r="AD28"/>
  <c r="AC23"/>
  <c r="AD29"/>
  <c r="AD26"/>
  <c r="Y22"/>
  <c r="Z14" s="1"/>
  <c r="AA14" s="1"/>
  <c r="AA64" l="1"/>
  <c r="AB64"/>
  <c r="AC64" s="1"/>
  <c r="AD64" s="1"/>
  <c r="AA60"/>
  <c r="AB60"/>
  <c r="AC60" s="1"/>
  <c r="AD60" s="1"/>
  <c r="AB63"/>
  <c r="AC63" s="1"/>
  <c r="AD63" s="1"/>
  <c r="AA63"/>
  <c r="AD75"/>
  <c r="AA58"/>
  <c r="AB58"/>
  <c r="AC58" s="1"/>
  <c r="AD58" s="1"/>
  <c r="AB59"/>
  <c r="AC59" s="1"/>
  <c r="AD59" s="1"/>
  <c r="AA59"/>
  <c r="AD38"/>
  <c r="AD41"/>
  <c r="AD74"/>
  <c r="AD40"/>
  <c r="AA56"/>
  <c r="AB56"/>
  <c r="AC56" s="1"/>
  <c r="AA55"/>
  <c r="AB55"/>
  <c r="AC55" s="1"/>
  <c r="AA50"/>
  <c r="AB50"/>
  <c r="AC50" s="1"/>
  <c r="AA52"/>
  <c r="AB52"/>
  <c r="AC52" s="1"/>
  <c r="AD30"/>
  <c r="AD32"/>
  <c r="AD27"/>
  <c r="AA36"/>
  <c r="AE33" s="1"/>
  <c r="AA76"/>
  <c r="AB65"/>
  <c r="AC65" s="1"/>
  <c r="AD65" s="1"/>
  <c r="AA65"/>
  <c r="AA62"/>
  <c r="AB62"/>
  <c r="AC62" s="1"/>
  <c r="AD62" s="1"/>
  <c r="AD69"/>
  <c r="AD72"/>
  <c r="AD42"/>
  <c r="AB61"/>
  <c r="AC61" s="1"/>
  <c r="AD61" s="1"/>
  <c r="AA61"/>
  <c r="AA66"/>
  <c r="AB66"/>
  <c r="AC66" s="1"/>
  <c r="AD66" s="1"/>
  <c r="AD71"/>
  <c r="AD39"/>
  <c r="AD73"/>
  <c r="AA54"/>
  <c r="AB54"/>
  <c r="AC54" s="1"/>
  <c r="AA51"/>
  <c r="AB51"/>
  <c r="AC51" s="1"/>
  <c r="AA53"/>
  <c r="AB53"/>
  <c r="AC53" s="1"/>
  <c r="AE25"/>
  <c r="AF25" s="1"/>
  <c r="AE29"/>
  <c r="AF29" s="1"/>
  <c r="AE31"/>
  <c r="AF31" s="1"/>
  <c r="AD23"/>
  <c r="AD36" s="1"/>
  <c r="Z15"/>
  <c r="Z13"/>
  <c r="Z11"/>
  <c r="AA11" s="1"/>
  <c r="Z12"/>
  <c r="AB14"/>
  <c r="AC14" s="1"/>
  <c r="AG33" l="1"/>
  <c r="AF33"/>
  <c r="AD53"/>
  <c r="AD51"/>
  <c r="AD54"/>
  <c r="AE28"/>
  <c r="AF28" s="1"/>
  <c r="AE26"/>
  <c r="AF26" s="1"/>
  <c r="AE23"/>
  <c r="AF23" s="1"/>
  <c r="AE32"/>
  <c r="AF32" s="1"/>
  <c r="AE24"/>
  <c r="AF24" s="1"/>
  <c r="AE27"/>
  <c r="AF27" s="1"/>
  <c r="AA57"/>
  <c r="AD49"/>
  <c r="AA68"/>
  <c r="AA15"/>
  <c r="AB15"/>
  <c r="AD52"/>
  <c r="AD50"/>
  <c r="AD55"/>
  <c r="AD56"/>
  <c r="AD76"/>
  <c r="AE30"/>
  <c r="AF30" s="1"/>
  <c r="AD68"/>
  <c r="AB12"/>
  <c r="AC12" s="1"/>
  <c r="AA12"/>
  <c r="AA22" s="1"/>
  <c r="AB13"/>
  <c r="AC13" s="1"/>
  <c r="AA13"/>
  <c r="AC15"/>
  <c r="AD14"/>
  <c r="AB11"/>
  <c r="AC11" s="1"/>
  <c r="AD13"/>
  <c r="AE74" l="1"/>
  <c r="AE69"/>
  <c r="AE72"/>
  <c r="AE71"/>
  <c r="AE73"/>
  <c r="AE59"/>
  <c r="AE64"/>
  <c r="AE60"/>
  <c r="AE66"/>
  <c r="AE58"/>
  <c r="AE63"/>
  <c r="AE67"/>
  <c r="AE62"/>
  <c r="AF36"/>
  <c r="AE61"/>
  <c r="AD15"/>
  <c r="AD12"/>
  <c r="AE37"/>
  <c r="AE38"/>
  <c r="AE41"/>
  <c r="AE40"/>
  <c r="AE42"/>
  <c r="AE39"/>
  <c r="AE43"/>
  <c r="AE75"/>
  <c r="AD57"/>
  <c r="AE70"/>
  <c r="AE65"/>
  <c r="AE51"/>
  <c r="AD11"/>
  <c r="AD22"/>
  <c r="AG24" s="1"/>
  <c r="AF51" l="1"/>
  <c r="AG51"/>
  <c r="AE52"/>
  <c r="AE50"/>
  <c r="AE55"/>
  <c r="AE56"/>
  <c r="AG42"/>
  <c r="AF42"/>
  <c r="AG37"/>
  <c r="AF37"/>
  <c r="AG70"/>
  <c r="AF70"/>
  <c r="AF75"/>
  <c r="AG75"/>
  <c r="AF39"/>
  <c r="AG39"/>
  <c r="AF40"/>
  <c r="AG40"/>
  <c r="AF38"/>
  <c r="AG38"/>
  <c r="AG49" s="1"/>
  <c r="AF61"/>
  <c r="AG61"/>
  <c r="AF62"/>
  <c r="AG62"/>
  <c r="AF63"/>
  <c r="AG63"/>
  <c r="AF66"/>
  <c r="AG66"/>
  <c r="AF64"/>
  <c r="AG64"/>
  <c r="AF73"/>
  <c r="AG73"/>
  <c r="AF72"/>
  <c r="AG72"/>
  <c r="AG74"/>
  <c r="AF74"/>
  <c r="AE54"/>
  <c r="AE11"/>
  <c r="AE12"/>
  <c r="AE15"/>
  <c r="AE14"/>
  <c r="AF65"/>
  <c r="AG65"/>
  <c r="AF43"/>
  <c r="AG43"/>
  <c r="AF41"/>
  <c r="AG41"/>
  <c r="AK27"/>
  <c r="AK31"/>
  <c r="AK24"/>
  <c r="AK28"/>
  <c r="AK32"/>
  <c r="AK25"/>
  <c r="AK29"/>
  <c r="AK33"/>
  <c r="AK26"/>
  <c r="AK30"/>
  <c r="AK23"/>
  <c r="AF67"/>
  <c r="AG67"/>
  <c r="AF58"/>
  <c r="AG58"/>
  <c r="AF60"/>
  <c r="AG60"/>
  <c r="AF59"/>
  <c r="AG59"/>
  <c r="AG71"/>
  <c r="AF71"/>
  <c r="AF69"/>
  <c r="AG69"/>
  <c r="AG76" s="1"/>
  <c r="AE13"/>
  <c r="AE53"/>
  <c r="AG26"/>
  <c r="AG29"/>
  <c r="AG32"/>
  <c r="AG27"/>
  <c r="AG25"/>
  <c r="AG30"/>
  <c r="AG28"/>
  <c r="AG31"/>
  <c r="AM23" l="1"/>
  <c r="AL23"/>
  <c r="AM29"/>
  <c r="AL29"/>
  <c r="AM24"/>
  <c r="AL24"/>
  <c r="AG13"/>
  <c r="AF13"/>
  <c r="AM30"/>
  <c r="AL30"/>
  <c r="AM33"/>
  <c r="AL33"/>
  <c r="AM25"/>
  <c r="AL25"/>
  <c r="AM28"/>
  <c r="AL28"/>
  <c r="AM31"/>
  <c r="AL31"/>
  <c r="AG14"/>
  <c r="AF14"/>
  <c r="AG12"/>
  <c r="AF12"/>
  <c r="AF54"/>
  <c r="AG54"/>
  <c r="AF55"/>
  <c r="AG55"/>
  <c r="AF52"/>
  <c r="AG52"/>
  <c r="AG68"/>
  <c r="AF76"/>
  <c r="AH69" s="1"/>
  <c r="AF68"/>
  <c r="AF53"/>
  <c r="AG53"/>
  <c r="AM26"/>
  <c r="AL26"/>
  <c r="AM32"/>
  <c r="AL32"/>
  <c r="AM27"/>
  <c r="AL27"/>
  <c r="AF15"/>
  <c r="AG15"/>
  <c r="AF11"/>
  <c r="AF22" s="1"/>
  <c r="AE22"/>
  <c r="AG11"/>
  <c r="AF56"/>
  <c r="AG56"/>
  <c r="AF50"/>
  <c r="AF57" s="1"/>
  <c r="AG50"/>
  <c r="AG57" s="1"/>
  <c r="AH37"/>
  <c r="AF49"/>
  <c r="AG23"/>
  <c r="AG36" s="1"/>
  <c r="AH23" s="1"/>
  <c r="AK40" l="1"/>
  <c r="AK37"/>
  <c r="AK41"/>
  <c r="AK38"/>
  <c r="AK42"/>
  <c r="AK39"/>
  <c r="AK43"/>
  <c r="AK11"/>
  <c r="AM11" s="1"/>
  <c r="AK12"/>
  <c r="AM12" s="1"/>
  <c r="AK15"/>
  <c r="AM15" s="1"/>
  <c r="AK14"/>
  <c r="AM14" s="1"/>
  <c r="AK13"/>
  <c r="AM13" s="1"/>
  <c r="AH50"/>
  <c r="AG22"/>
  <c r="AH11" s="1"/>
  <c r="AM36"/>
  <c r="AK55"/>
  <c r="AK50"/>
  <c r="AK56"/>
  <c r="AK52"/>
  <c r="AK54"/>
  <c r="AK51"/>
  <c r="AK53"/>
  <c r="AK73"/>
  <c r="AK59"/>
  <c r="AK63"/>
  <c r="AK72"/>
  <c r="AK69"/>
  <c r="AK62"/>
  <c r="AK66"/>
  <c r="AK67"/>
  <c r="AK71"/>
  <c r="AK75"/>
  <c r="AK61"/>
  <c r="AK65"/>
  <c r="AK70"/>
  <c r="AK74"/>
  <c r="AK60"/>
  <c r="AK64"/>
  <c r="AK58"/>
  <c r="AH58"/>
  <c r="AL36"/>
  <c r="AN23" s="1"/>
  <c r="AL13"/>
  <c r="AL15"/>
  <c r="AL12"/>
  <c r="AL14"/>
  <c r="AL11"/>
  <c r="AM58" l="1"/>
  <c r="AL58"/>
  <c r="AM60"/>
  <c r="AL60"/>
  <c r="AM70"/>
  <c r="AL70"/>
  <c r="AM61"/>
  <c r="AL61"/>
  <c r="AM71"/>
  <c r="AL71"/>
  <c r="AM66"/>
  <c r="AL66"/>
  <c r="AM69"/>
  <c r="AL69"/>
  <c r="AM63"/>
  <c r="AL63"/>
  <c r="AM73"/>
  <c r="AL73"/>
  <c r="AM51"/>
  <c r="AL51"/>
  <c r="AM52"/>
  <c r="AL52"/>
  <c r="AM50"/>
  <c r="AL50"/>
  <c r="AM43"/>
  <c r="AL43"/>
  <c r="AM42"/>
  <c r="AL42"/>
  <c r="AM41"/>
  <c r="AL41"/>
  <c r="AM40"/>
  <c r="AL40"/>
  <c r="AM64"/>
  <c r="AL64"/>
  <c r="AM74"/>
  <c r="AL74"/>
  <c r="AM65"/>
  <c r="AL65"/>
  <c r="AM75"/>
  <c r="AL75"/>
  <c r="AM67"/>
  <c r="AL67"/>
  <c r="AM62"/>
  <c r="AL62"/>
  <c r="AM72"/>
  <c r="AL72"/>
  <c r="AM59"/>
  <c r="AL59"/>
  <c r="AM53"/>
  <c r="AL53"/>
  <c r="AM54"/>
  <c r="AL54"/>
  <c r="AM56"/>
  <c r="AL56"/>
  <c r="AM55"/>
  <c r="AL55"/>
  <c r="AM39"/>
  <c r="AL39"/>
  <c r="AM38"/>
  <c r="AL38"/>
  <c r="AM37"/>
  <c r="AM49" s="1"/>
  <c r="AL37"/>
  <c r="AL49" s="1"/>
  <c r="AM22"/>
  <c r="AL22"/>
  <c r="AM57" l="1"/>
  <c r="AM76"/>
  <c r="AM68"/>
  <c r="AN11"/>
  <c r="AN37"/>
  <c r="AL57"/>
  <c r="AN50" s="1"/>
  <c r="AL76"/>
  <c r="AN69" s="1"/>
  <c r="AL68"/>
  <c r="AN58" s="1"/>
</calcChain>
</file>

<file path=xl/comments1.xml><?xml version="1.0" encoding="utf-8"?>
<comments xmlns="http://schemas.openxmlformats.org/spreadsheetml/2006/main">
  <authors>
    <author>Lissette Aliaga Linares</author>
  </authors>
  <commentList>
    <comment ref="C12" authorId="0">
      <text>
        <r>
          <rPr>
            <b/>
            <sz val="8"/>
            <color indexed="81"/>
            <rFont val="Tahoma"/>
            <family val="2"/>
          </rPr>
          <t>Lissette Aliaga Linares:</t>
        </r>
        <r>
          <rPr>
            <sz val="8"/>
            <color indexed="81"/>
            <rFont val="Tahoma"/>
            <family val="2"/>
          </rPr>
          <t xml:space="preserve">
used google earth counts
</t>
        </r>
      </text>
    </comment>
    <comment ref="C15" authorId="0">
      <text>
        <r>
          <rPr>
            <b/>
            <sz val="8"/>
            <color indexed="81"/>
            <rFont val="Tahoma"/>
            <family val="2"/>
          </rPr>
          <t>Lissette Aliaga Linares:</t>
        </r>
        <r>
          <rPr>
            <sz val="8"/>
            <color indexed="81"/>
            <rFont val="Tahoma"/>
            <family val="2"/>
          </rPr>
          <t xml:space="preserve">
used last occupied lots calculation</t>
        </r>
      </text>
    </comment>
  </commentList>
</comments>
</file>

<file path=xl/comments2.xml><?xml version="1.0" encoding="utf-8"?>
<comments xmlns="http://schemas.openxmlformats.org/spreadsheetml/2006/main">
  <authors>
    <author>Lissette Aliaga Linares</author>
  </authors>
  <commentList>
    <comment ref="G10" authorId="0">
      <text>
        <r>
          <rPr>
            <b/>
            <sz val="8"/>
            <color indexed="81"/>
            <rFont val="Tahoma"/>
            <family val="2"/>
          </rPr>
          <t>Lissette Aliaga Linares:</t>
        </r>
        <r>
          <rPr>
            <sz val="8"/>
            <color indexed="81"/>
            <rFont val="Tahoma"/>
            <family val="2"/>
          </rPr>
          <t xml:space="preserve">
Some ratios and quotas may change due to the increase of the number of colonias in the field</t>
        </r>
      </text>
    </comment>
    <comment ref="B41" authorId="0">
      <text>
        <r>
          <rPr>
            <b/>
            <sz val="8"/>
            <color indexed="81"/>
            <rFont val="Tahoma"/>
            <family val="2"/>
          </rPr>
          <t>Lissette Aliaga Linares: took 2010 calculations</t>
        </r>
        <r>
          <rPr>
            <sz val="8"/>
            <color indexed="81"/>
            <rFont val="Tahoma"/>
            <family val="2"/>
          </rPr>
          <t xml:space="preserve">
</t>
        </r>
      </text>
    </comment>
    <comment ref="B44" authorId="0">
      <text>
        <r>
          <rPr>
            <b/>
            <sz val="8"/>
            <color indexed="81"/>
            <rFont val="Tahoma"/>
            <family val="2"/>
          </rPr>
          <t>Lissette Aliaga Linares:</t>
        </r>
        <r>
          <rPr>
            <sz val="8"/>
            <color indexed="81"/>
            <rFont val="Tahoma"/>
            <family val="2"/>
          </rPr>
          <t xml:space="preserve">
Add colonia from OAG viewer to shapefile</t>
        </r>
      </text>
    </comment>
    <comment ref="B70" authorId="0">
      <text>
        <r>
          <rPr>
            <b/>
            <sz val="8"/>
            <color indexed="81"/>
            <rFont val="Tahoma"/>
            <family val="2"/>
          </rPr>
          <t xml:space="preserve">Lissette Aliaga Linares: 2000 overlay count "0", used 1997 occupied lots for base year
</t>
        </r>
        <r>
          <rPr>
            <sz val="8"/>
            <color indexed="81"/>
            <rFont val="Tahoma"/>
            <family val="2"/>
          </rPr>
          <t xml:space="preserve">
</t>
        </r>
      </text>
    </comment>
  </commentList>
</comments>
</file>

<file path=xl/sharedStrings.xml><?xml version="1.0" encoding="utf-8"?>
<sst xmlns="http://schemas.openxmlformats.org/spreadsheetml/2006/main" count="430" uniqueCount="236">
  <si>
    <t>Colonias</t>
  </si>
  <si>
    <t>Housing units 2010</t>
  </si>
  <si>
    <t>Deerfield Park</t>
  </si>
  <si>
    <t>Deerfield Park 2</t>
  </si>
  <si>
    <t>Deerfield Park 3</t>
  </si>
  <si>
    <t>Tornillo</t>
  </si>
  <si>
    <t>Las Casitas 1</t>
  </si>
  <si>
    <t>Las Casitas 3</t>
  </si>
  <si>
    <t>Mayfair Subd.</t>
  </si>
  <si>
    <t>Mayfair Subd. 2</t>
  </si>
  <si>
    <t>Mayfair Subd. 3</t>
  </si>
  <si>
    <t>Mayfair Subd. 4</t>
  </si>
  <si>
    <t>Mayfair Subd. 5</t>
  </si>
  <si>
    <t>Larga Vista</t>
  </si>
  <si>
    <t>Pueblo Nuevo</t>
  </si>
  <si>
    <t>San Carlos 1</t>
  </si>
  <si>
    <t>Los Altos</t>
  </si>
  <si>
    <t>San Carlos 2</t>
  </si>
  <si>
    <t>Guerra</t>
  </si>
  <si>
    <t>Olivarez</t>
  </si>
  <si>
    <t>Trevinos</t>
  </si>
  <si>
    <t>Doyno West Side 2</t>
  </si>
  <si>
    <t>Trevinos 1</t>
  </si>
  <si>
    <t>Los Olmos</t>
  </si>
  <si>
    <t>Garza-Salinas</t>
  </si>
  <si>
    <t>Share 52</t>
  </si>
  <si>
    <t>Welch Tract</t>
  </si>
  <si>
    <t>Cotter Tract</t>
  </si>
  <si>
    <t>Amigo Park</t>
  </si>
  <si>
    <t>Heidelberg</t>
  </si>
  <si>
    <t>Hidalgo Park Estates</t>
  </si>
  <si>
    <t>Santa Maria</t>
  </si>
  <si>
    <t>Bluetown</t>
  </si>
  <si>
    <t>Olmito</t>
  </si>
  <si>
    <t>County</t>
  </si>
  <si>
    <t>Hidalgo</t>
  </si>
  <si>
    <t>Cameron</t>
  </si>
  <si>
    <t>Webb</t>
  </si>
  <si>
    <t>Starr</t>
  </si>
  <si>
    <t>El Paso</t>
  </si>
  <si>
    <t>n.a</t>
  </si>
  <si>
    <t>Indian Hills East</t>
  </si>
  <si>
    <t>Google Earth Count</t>
  </si>
  <si>
    <t>Year Platted</t>
  </si>
  <si>
    <t>na</t>
  </si>
  <si>
    <t>El Cenizo 1-5</t>
  </si>
  <si>
    <t>Santa Maria North</t>
  </si>
  <si>
    <t>Iglesia Antigua</t>
  </si>
  <si>
    <t>Iglesia Vieja</t>
  </si>
  <si>
    <t>Outside sampling frame</t>
  </si>
  <si>
    <t>Taurus Estate 1 (no shape)</t>
  </si>
  <si>
    <t>On sampling frame but not randomly selected</t>
  </si>
  <si>
    <t>LOTS</t>
  </si>
  <si>
    <t>HOUSING UNITS</t>
  </si>
  <si>
    <t xml:space="preserve">County Name
</t>
  </si>
  <si>
    <t xml:space="preserve">ID
</t>
  </si>
  <si>
    <t xml:space="preserve">Community Name
</t>
  </si>
  <si>
    <t xml:space="preserve">Alternate Name
</t>
  </si>
  <si>
    <t>Shapefile?</t>
  </si>
  <si>
    <t># Occupied Lots 1997</t>
  </si>
  <si>
    <t xml:space="preserve">Val Verde
</t>
  </si>
  <si>
    <t xml:space="preserve">M2330006
</t>
  </si>
  <si>
    <t xml:space="preserve">Owens Addition #1
</t>
  </si>
  <si>
    <t>yes</t>
  </si>
  <si>
    <t xml:space="preserve">M2330007
</t>
  </si>
  <si>
    <t xml:space="preserve">Owens Addition #2
</t>
  </si>
  <si>
    <t xml:space="preserve">Owens
</t>
  </si>
  <si>
    <t xml:space="preserve">M2330015
</t>
  </si>
  <si>
    <t xml:space="preserve">Langtry, Texas
</t>
  </si>
  <si>
    <t xml:space="preserve">Langtry
</t>
  </si>
  <si>
    <t xml:space="preserve">M2330001
</t>
  </si>
  <si>
    <t xml:space="preserve">Amistad Acres
</t>
  </si>
  <si>
    <t xml:space="preserve">M2330009
</t>
  </si>
  <si>
    <t xml:space="preserve">Rio Bravo
</t>
  </si>
  <si>
    <t xml:space="preserve">M2330008
</t>
  </si>
  <si>
    <t xml:space="preserve">Payment
</t>
  </si>
  <si>
    <t xml:space="preserve">M2330005
</t>
  </si>
  <si>
    <t xml:space="preserve">Los Campos #3 &amp; 4
</t>
  </si>
  <si>
    <t xml:space="preserve">Los Campos
</t>
  </si>
  <si>
    <t xml:space="preserve">M2330002
</t>
  </si>
  <si>
    <t xml:space="preserve">Box Canyon Estates
</t>
  </si>
  <si>
    <t xml:space="preserve">M2330010
</t>
  </si>
  <si>
    <t xml:space="preserve">Rough Canyon
</t>
  </si>
  <si>
    <t xml:space="preserve">M2330016
</t>
  </si>
  <si>
    <t xml:space="preserve">Los Campos #1,2 &amp; 5
</t>
  </si>
  <si>
    <t xml:space="preserve">M2330004
</t>
  </si>
  <si>
    <t xml:space="preserve">Lake View Addition
</t>
  </si>
  <si>
    <t xml:space="preserve">Lake View Estates
</t>
  </si>
  <si>
    <t xml:space="preserve">M2330011
</t>
  </si>
  <si>
    <t xml:space="preserve">Town of Comstock
</t>
  </si>
  <si>
    <t xml:space="preserve">Comstock
</t>
  </si>
  <si>
    <t xml:space="preserve">M2330012
</t>
  </si>
  <si>
    <t xml:space="preserve">Val Verde Park
</t>
  </si>
  <si>
    <t xml:space="preserve">M2330013
</t>
  </si>
  <si>
    <t xml:space="preserve">Val Verde Park #2
</t>
  </si>
  <si>
    <t xml:space="preserve">M2330003
</t>
  </si>
  <si>
    <t xml:space="preserve">Cienegas Terrace
</t>
  </si>
  <si>
    <t>Total 1997</t>
  </si>
  <si>
    <t>2010 Approximate occupied lots</t>
  </si>
  <si>
    <t>TWDB 2000</t>
  </si>
  <si>
    <t>Total  lots</t>
  </si>
  <si>
    <t># Occupied lots</t>
  </si>
  <si>
    <t>Google Earth Counts</t>
  </si>
  <si>
    <t>Plat Map (total lots)</t>
  </si>
  <si>
    <t>no plat map</t>
  </si>
  <si>
    <t>15 housing units</t>
  </si>
  <si>
    <t>43 (housing units difficult to see through trees)</t>
  </si>
  <si>
    <t>Occupancy rates</t>
  </si>
  <si>
    <t>%change 00-10</t>
  </si>
  <si>
    <t>Aprox occupied lots</t>
  </si>
  <si>
    <t>z 1,96 (a=0,05) 2,58 (a=0,01)</t>
  </si>
  <si>
    <t>n0</t>
  </si>
  <si>
    <t>p (expected frequency in the parameter)</t>
  </si>
  <si>
    <t>N</t>
  </si>
  <si>
    <t>i (margin of error)</t>
  </si>
  <si>
    <t>n</t>
  </si>
  <si>
    <t>La Presa</t>
  </si>
  <si>
    <t>Pueblo de Palmas (mail surveys all)</t>
  </si>
  <si>
    <t>Drakes Subdivision</t>
  </si>
  <si>
    <t xml:space="preserve">North Santa Cruz </t>
  </si>
  <si>
    <t>all</t>
  </si>
  <si>
    <t>Aloe Vera</t>
  </si>
  <si>
    <t>Combes</t>
  </si>
  <si>
    <t># Surveys Needed</t>
  </si>
  <si>
    <t>Maverick</t>
  </si>
  <si>
    <t>Deer Run # 2</t>
  </si>
  <si>
    <t>Deer Run # 4</t>
  </si>
  <si>
    <t>Deer Run # 5</t>
  </si>
  <si>
    <t>Las Quintas Fronterizas</t>
  </si>
  <si>
    <t>Chula Vista School Block</t>
  </si>
  <si>
    <t>Chula Vista 1-5</t>
  </si>
  <si>
    <t>Loma Linda # 1</t>
  </si>
  <si>
    <t>Rosal</t>
  </si>
  <si>
    <t>Munoz</t>
  </si>
  <si>
    <t>Shelley</t>
  </si>
  <si>
    <t>East Alto Bonito</t>
  </si>
  <si>
    <t>Ratio</t>
  </si>
  <si>
    <t>Randomly selected</t>
  </si>
  <si>
    <t>Weight1</t>
  </si>
  <si>
    <t>Sample sizes</t>
  </si>
  <si>
    <t>Total Housing units</t>
  </si>
  <si>
    <t>Completed</t>
  </si>
  <si>
    <t>Eligible Non Respondents</t>
  </si>
  <si>
    <t>Unknown eligibility</t>
  </si>
  <si>
    <t>In-Person+mailbacks</t>
  </si>
  <si>
    <t>In-Person</t>
  </si>
  <si>
    <t>Mailbacks</t>
  </si>
  <si>
    <t>Vacant</t>
  </si>
  <si>
    <t>Ineligibles</t>
  </si>
  <si>
    <t>Adjusted weight</t>
  </si>
  <si>
    <t>Proportion of Known eligibility</t>
  </si>
  <si>
    <t>Adjustment factor</t>
  </si>
  <si>
    <t>Rental</t>
  </si>
  <si>
    <t>Commercial</t>
  </si>
  <si>
    <t>Sample</t>
  </si>
  <si>
    <t>Total Colonias</t>
  </si>
  <si>
    <t>Housing units in Colonias 2010 (by Census Overlay)</t>
  </si>
  <si>
    <t>Selected Colonias</t>
  </si>
  <si>
    <t>Sample Size (95% confidence, 5% error)</t>
  </si>
  <si>
    <t>Completed Surveys</t>
  </si>
  <si>
    <t>Margin of error after survey implementation</t>
  </si>
  <si>
    <t>In-person</t>
  </si>
  <si>
    <t>TOTAL</t>
  </si>
  <si>
    <t>W sample1</t>
  </si>
  <si>
    <t>W sample 2</t>
  </si>
  <si>
    <t>Pij</t>
  </si>
  <si>
    <t>Prob (stage2)</t>
  </si>
  <si>
    <t>Prob (stage1)</t>
  </si>
  <si>
    <t>Capisallo Heights/Indian Hills West</t>
  </si>
  <si>
    <t>Owasa Gardens (New Colonia 5)</t>
  </si>
  <si>
    <t>Two stage, not self-weigthing as overall probability may vary by colonia size</t>
  </si>
  <si>
    <t>Seminole Valley 1</t>
  </si>
  <si>
    <t>Seminole Valley 2</t>
  </si>
  <si>
    <t>Adjustments for non response</t>
  </si>
  <si>
    <t>Randomly Selected Colonias</t>
  </si>
  <si>
    <t>W sample 3</t>
  </si>
  <si>
    <t>Las Casitas 2 (ommitted on the field)</t>
  </si>
  <si>
    <t>Adjustments for unknown eligibility</t>
  </si>
  <si>
    <t>Adjustments for variances</t>
  </si>
  <si>
    <t>Trimmed weight</t>
  </si>
  <si>
    <t>Total</t>
  </si>
  <si>
    <t>1.Maverick</t>
  </si>
  <si>
    <t>2.Starr</t>
  </si>
  <si>
    <t>3.El Paso</t>
  </si>
  <si>
    <t>4.Webb</t>
  </si>
  <si>
    <t>5.Hidalgo</t>
  </si>
  <si>
    <t>6.Cameron</t>
  </si>
  <si>
    <t>wt sample4</t>
  </si>
  <si>
    <t>Extrap. Completed Surveys</t>
  </si>
  <si>
    <t>Totals</t>
  </si>
  <si>
    <t>Observations</t>
  </si>
  <si>
    <t>lost surveys?</t>
  </si>
  <si>
    <t>more surveys</t>
  </si>
  <si>
    <t>Survey Returns Based in Lot logs</t>
  </si>
  <si>
    <t>Survey Returns Based in Survey Data set</t>
  </si>
  <si>
    <t>Cut-off point = or &gt;10% error when n=…</t>
  </si>
  <si>
    <t>Refusals</t>
  </si>
  <si>
    <t>Not Home</t>
  </si>
  <si>
    <t xml:space="preserve">Rental Units </t>
  </si>
  <si>
    <t>Commercial Establisments</t>
  </si>
  <si>
    <t>Ineligible Respondents</t>
  </si>
  <si>
    <t>Total Survey Returns</t>
  </si>
  <si>
    <t>Vacant or abandoned dwelling</t>
  </si>
  <si>
    <t>Compensate Final weight</t>
  </si>
  <si>
    <t>CODE</t>
  </si>
  <si>
    <t>Universe</t>
  </si>
  <si>
    <t>Check 2</t>
  </si>
  <si>
    <t>Check 3</t>
  </si>
  <si>
    <t>Back-up/ outside sampling frame/mail surveys</t>
  </si>
  <si>
    <t>L</t>
  </si>
  <si>
    <t>check final</t>
  </si>
  <si>
    <t>Weight  3 Compensate 3</t>
  </si>
  <si>
    <t xml:space="preserve">Weight 2 Compensate </t>
  </si>
  <si>
    <t>wj2 * rh</t>
  </si>
  <si>
    <t>Variance Inflation Factor (L)</t>
  </si>
  <si>
    <t>These weights are not the ones initially calculated before the fieldwork. I have adjusted them to incorporate the colonias that were incorporated either later the initial decisions or on the field. Total Housing units, sample sizes in the county, surveys needed and ratios will vary for the affected counties.</t>
  </si>
  <si>
    <t>Pre-adjustment</t>
  </si>
  <si>
    <t>Wj2*rh</t>
  </si>
  <si>
    <t>Post-L</t>
  </si>
  <si>
    <t>MSE Market Value</t>
  </si>
  <si>
    <t>cut-off</t>
  </si>
  <si>
    <t>MSE Year of Move</t>
  </si>
  <si>
    <t>Percentile Truncation</t>
  </si>
  <si>
    <t xml:space="preserve">Completed  =  </t>
  </si>
  <si>
    <t xml:space="preserve">Eligible non respondents  =  </t>
  </si>
  <si>
    <t xml:space="preserve">Ineligible  =  </t>
  </si>
  <si>
    <t xml:space="preserve">Unknown eligibility  =  </t>
  </si>
  <si>
    <t>Vacant + Rental Units + Commercial</t>
  </si>
  <si>
    <t>Not Homes</t>
  </si>
  <si>
    <t xml:space="preserve">Proportion of Known Eligibility  =  </t>
  </si>
  <si>
    <t xml:space="preserve">Response Rate  =  </t>
  </si>
  <si>
    <t xml:space="preserve">Non Response Rate  =  </t>
  </si>
  <si>
    <t>Unknown Eligible</t>
  </si>
  <si>
    <t>Appendix A.iv</t>
  </si>
  <si>
    <t>Weights</t>
  </si>
  <si>
    <t>Appendix A.iv: Page 1</t>
  </si>
</sst>
</file>

<file path=xl/styles.xml><?xml version="1.0" encoding="utf-8"?>
<styleSheet xmlns="http://schemas.openxmlformats.org/spreadsheetml/2006/main">
  <numFmts count="4">
    <numFmt numFmtId="43" formatCode="_(* #,##0.00_);_(* \(#,##0.00\);_(* &quot;-&quot;??_);_(@_)"/>
    <numFmt numFmtId="164" formatCode="0.0"/>
    <numFmt numFmtId="165" formatCode="0.000"/>
    <numFmt numFmtId="166" formatCode="_(* #,##0_);_(* \(#,##0\);_(* &quot;-&quot;??_);_(@_)"/>
  </numFmts>
  <fonts count="44">
    <font>
      <sz val="11"/>
      <color theme="1"/>
      <name val="Calibri"/>
      <family val="2"/>
      <scheme val="minor"/>
    </font>
    <font>
      <sz val="11"/>
      <name val="Calibri"/>
      <family val="2"/>
      <scheme val="minor"/>
    </font>
    <font>
      <b/>
      <sz val="11"/>
      <color indexed="8"/>
      <name val="Helvetica Neue"/>
    </font>
    <font>
      <sz val="11"/>
      <color rgb="FFFF0000"/>
      <name val="Calibri"/>
      <family val="2"/>
      <scheme val="minor"/>
    </font>
    <font>
      <sz val="8"/>
      <color indexed="81"/>
      <name val="Tahoma"/>
      <family val="2"/>
    </font>
    <font>
      <b/>
      <sz val="8"/>
      <color indexed="81"/>
      <name val="Tahoma"/>
      <family val="2"/>
    </font>
    <font>
      <sz val="11"/>
      <color indexed="8"/>
      <name val="Times New Roman"/>
      <family val="1"/>
      <charset val="204"/>
    </font>
    <font>
      <sz val="11"/>
      <color indexed="8"/>
      <name val="Times New Roman"/>
      <family val="1"/>
    </font>
    <font>
      <sz val="11"/>
      <color theme="1"/>
      <name val="Times New Roman"/>
      <family val="1"/>
    </font>
    <font>
      <b/>
      <sz val="11"/>
      <color rgb="FFFF0000"/>
      <name val="Times New Roman"/>
      <family val="1"/>
    </font>
    <font>
      <sz val="11"/>
      <name val="Times New Roman"/>
      <family val="1"/>
      <charset val="204"/>
    </font>
    <font>
      <sz val="11"/>
      <name val="Times New Roman"/>
      <family val="1"/>
    </font>
    <font>
      <b/>
      <sz val="11"/>
      <name val="Times New Roman"/>
      <family val="1"/>
    </font>
    <font>
      <sz val="11"/>
      <color rgb="FFFF0000"/>
      <name val="Times New Roman"/>
      <family val="1"/>
      <charset val="204"/>
    </font>
    <font>
      <sz val="11"/>
      <color rgb="FFFF0000"/>
      <name val="Times New Roman"/>
      <family val="1"/>
    </font>
    <font>
      <sz val="12"/>
      <name val="Arial"/>
      <family val="2"/>
    </font>
    <font>
      <b/>
      <sz val="12"/>
      <name val="Arial"/>
      <family val="2"/>
    </font>
    <font>
      <b/>
      <sz val="11"/>
      <name val="Calibri"/>
      <family val="2"/>
      <scheme val="minor"/>
    </font>
    <font>
      <sz val="8"/>
      <name val="Calibri"/>
      <family val="2"/>
      <scheme val="minor"/>
    </font>
    <font>
      <sz val="8"/>
      <color theme="1"/>
      <name val="Calibri"/>
      <family val="2"/>
      <scheme val="minor"/>
    </font>
    <font>
      <b/>
      <sz val="9"/>
      <name val="Calibri"/>
      <family val="2"/>
      <scheme val="minor"/>
    </font>
    <font>
      <sz val="8"/>
      <color theme="1"/>
      <name val="Arial Narrow"/>
      <family val="2"/>
    </font>
    <font>
      <sz val="8"/>
      <name val="Arial Narrow"/>
      <family val="2"/>
    </font>
    <font>
      <b/>
      <sz val="11"/>
      <color theme="1"/>
      <name val="Calibri"/>
      <family val="2"/>
      <scheme val="minor"/>
    </font>
    <font>
      <sz val="10"/>
      <color theme="1"/>
      <name val="Calibri"/>
      <family val="2"/>
      <scheme val="minor"/>
    </font>
    <font>
      <b/>
      <sz val="11"/>
      <color indexed="8"/>
      <name val="Calibri"/>
      <family val="2"/>
      <scheme val="minor"/>
    </font>
    <font>
      <b/>
      <i/>
      <sz val="11"/>
      <name val="Calibri"/>
      <family val="2"/>
      <scheme val="minor"/>
    </font>
    <font>
      <b/>
      <i/>
      <sz val="11"/>
      <color theme="1"/>
      <name val="Calibri"/>
      <family val="2"/>
      <scheme val="minor"/>
    </font>
    <font>
      <b/>
      <i/>
      <sz val="8"/>
      <color theme="1"/>
      <name val="Arial Narrow"/>
      <family val="2"/>
    </font>
    <font>
      <b/>
      <sz val="9"/>
      <color theme="1"/>
      <name val="Calibri"/>
      <family val="2"/>
      <scheme val="minor"/>
    </font>
    <font>
      <sz val="8"/>
      <color rgb="FFFF0000"/>
      <name val="Arial Narrow"/>
      <family val="2"/>
    </font>
    <font>
      <sz val="8"/>
      <color rgb="FFFF0000"/>
      <name val="Calibri"/>
      <family val="2"/>
      <scheme val="minor"/>
    </font>
    <font>
      <b/>
      <sz val="8"/>
      <color rgb="FFFF0000"/>
      <name val="Calibri"/>
      <family val="2"/>
      <scheme val="minor"/>
    </font>
    <font>
      <sz val="11"/>
      <color rgb="FF00B050"/>
      <name val="Arial Narrow"/>
      <family val="2"/>
    </font>
    <font>
      <sz val="11"/>
      <color theme="1"/>
      <name val="Calibri"/>
      <family val="2"/>
      <scheme val="minor"/>
    </font>
    <font>
      <sz val="11"/>
      <color rgb="FF7030A0"/>
      <name val="Arial Narrow"/>
      <family val="2"/>
    </font>
    <font>
      <b/>
      <sz val="8"/>
      <name val="Arial Narrow"/>
      <family val="2"/>
    </font>
    <font>
      <sz val="11"/>
      <color theme="1"/>
      <name val="Arial"/>
      <family val="2"/>
    </font>
    <font>
      <sz val="11"/>
      <color rgb="FFFF0000"/>
      <name val="Arial"/>
      <family val="2"/>
    </font>
    <font>
      <sz val="11"/>
      <name val="Arial"/>
      <family val="2"/>
    </font>
    <font>
      <b/>
      <sz val="11"/>
      <color indexed="8"/>
      <name val="Arial"/>
      <family val="2"/>
    </font>
    <font>
      <b/>
      <sz val="11"/>
      <color theme="1"/>
      <name val="Arial"/>
      <family val="2"/>
    </font>
    <font>
      <b/>
      <sz val="11"/>
      <name val="Arial"/>
      <family val="2"/>
    </font>
    <font>
      <b/>
      <sz val="12"/>
      <color theme="1"/>
      <name val="Arial"/>
      <family val="2"/>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2"/>
        <bgColor indexed="64"/>
      </patternFill>
    </fill>
    <fill>
      <patternFill patternType="solid">
        <fgColor indexed="22"/>
        <bgColor indexed="31"/>
      </patternFill>
    </fill>
    <fill>
      <patternFill patternType="solid">
        <fgColor theme="0" tint="-0.249977111117893"/>
        <bgColor indexed="31"/>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49"/>
        <bgColor indexed="64"/>
      </patternFill>
    </fill>
    <fill>
      <patternFill patternType="solid">
        <fgColor rgb="FF66CCFF"/>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59999389629810485"/>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style="double">
        <color indexed="64"/>
      </right>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43" fontId="34" fillId="0" borderId="0" applyFont="0" applyFill="0" applyBorder="0" applyAlignment="0" applyProtection="0"/>
    <xf numFmtId="9" fontId="34" fillId="0" borderId="0" applyFont="0" applyFill="0" applyBorder="0" applyAlignment="0" applyProtection="0"/>
  </cellStyleXfs>
  <cellXfs count="273">
    <xf numFmtId="0" fontId="0" fillId="0" borderId="0" xfId="0"/>
    <xf numFmtId="1" fontId="0" fillId="0" borderId="0" xfId="0" applyNumberFormat="1"/>
    <xf numFmtId="0" fontId="1" fillId="0" borderId="0" xfId="0" applyFont="1"/>
    <xf numFmtId="0" fontId="0" fillId="0" borderId="0" xfId="0" applyAlignment="1">
      <alignment vertical="top"/>
    </xf>
    <xf numFmtId="0" fontId="0" fillId="3" borderId="0" xfId="0" applyFill="1"/>
    <xf numFmtId="0" fontId="0" fillId="0" borderId="0" xfId="0" applyAlignment="1"/>
    <xf numFmtId="0" fontId="2" fillId="6" borderId="0" xfId="0" applyFont="1" applyFill="1" applyAlignment="1"/>
    <xf numFmtId="0" fontId="6" fillId="7" borderId="8" xfId="0" applyFont="1" applyFill="1" applyBorder="1" applyAlignment="1">
      <alignment horizontal="left" vertical="top" wrapText="1"/>
    </xf>
    <xf numFmtId="0" fontId="6" fillId="7" borderId="9" xfId="0" applyFont="1" applyFill="1" applyBorder="1" applyAlignment="1">
      <alignment horizontal="left" vertical="top" wrapText="1"/>
    </xf>
    <xf numFmtId="0" fontId="6" fillId="7" borderId="3" xfId="0" applyFont="1" applyFill="1" applyBorder="1" applyAlignment="1">
      <alignment horizontal="left" vertical="top"/>
    </xf>
    <xf numFmtId="0" fontId="7" fillId="7" borderId="10" xfId="0" applyFont="1" applyFill="1" applyBorder="1" applyAlignment="1">
      <alignment horizontal="left" vertical="top" wrapText="1"/>
    </xf>
    <xf numFmtId="0" fontId="7" fillId="7" borderId="11" xfId="0" applyFont="1" applyFill="1" applyBorder="1" applyAlignment="1">
      <alignment horizontal="left" vertical="top" wrapText="1"/>
    </xf>
    <xf numFmtId="0" fontId="7" fillId="7" borderId="0"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8" borderId="12" xfId="0" applyFont="1" applyFill="1" applyBorder="1" applyAlignment="1">
      <alignment horizontal="left" vertical="top"/>
    </xf>
    <xf numFmtId="0" fontId="8" fillId="9" borderId="3" xfId="0" applyFont="1" applyFill="1" applyBorder="1" applyAlignment="1">
      <alignment wrapText="1"/>
    </xf>
    <xf numFmtId="0" fontId="10" fillId="0" borderId="8" xfId="0" applyFont="1" applyFill="1" applyBorder="1" applyAlignment="1">
      <alignment horizontal="left" vertical="center" wrapText="1"/>
    </xf>
    <xf numFmtId="0" fontId="1" fillId="0" borderId="9"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0" fillId="0" borderId="9" xfId="0" applyFont="1" applyFill="1" applyBorder="1" applyAlignment="1">
      <alignment horizontal="left" vertical="center" wrapText="1"/>
    </xf>
    <xf numFmtId="1" fontId="12" fillId="0" borderId="0" xfId="0" applyNumberFormat="1" applyFont="1" applyFill="1" applyAlignment="1">
      <alignment horizontal="left" vertical="center"/>
    </xf>
    <xf numFmtId="0" fontId="1" fillId="0" borderId="0" xfId="0" applyFont="1" applyFill="1" applyAlignment="1">
      <alignment horizontal="left" vertical="center"/>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4" fillId="0" borderId="6" xfId="0" applyFont="1" applyFill="1" applyBorder="1" applyAlignment="1">
      <alignment horizontal="left" vertical="center"/>
    </xf>
    <xf numFmtId="1" fontId="9"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9" xfId="0" applyFont="1" applyFill="1" applyBorder="1" applyAlignment="1">
      <alignment horizontal="left" vertical="center"/>
    </xf>
    <xf numFmtId="1" fontId="0" fillId="3" borderId="0" xfId="0" applyNumberFormat="1" applyFill="1"/>
    <xf numFmtId="0" fontId="6" fillId="8" borderId="0" xfId="0" applyFont="1" applyFill="1" applyBorder="1" applyAlignment="1">
      <alignment horizontal="left" vertical="top"/>
    </xf>
    <xf numFmtId="0" fontId="6" fillId="8" borderId="0" xfId="0" applyFont="1" applyFill="1" applyBorder="1" applyAlignment="1">
      <alignment horizontal="left" vertical="top" wrapText="1"/>
    </xf>
    <xf numFmtId="1" fontId="11" fillId="0" borderId="13" xfId="0" applyNumberFormat="1" applyFont="1" applyFill="1" applyBorder="1" applyAlignment="1">
      <alignment horizontal="left" vertical="center"/>
    </xf>
    <xf numFmtId="1" fontId="14" fillId="0" borderId="13" xfId="0" applyNumberFormat="1" applyFont="1" applyFill="1" applyBorder="1" applyAlignment="1">
      <alignment horizontal="left" vertical="center"/>
    </xf>
    <xf numFmtId="164" fontId="11" fillId="0" borderId="3" xfId="0" applyNumberFormat="1" applyFont="1" applyFill="1" applyBorder="1" applyAlignment="1">
      <alignment horizontal="left" vertical="center"/>
    </xf>
    <xf numFmtId="2" fontId="11" fillId="0" borderId="3" xfId="0" applyNumberFormat="1" applyFont="1" applyFill="1" applyBorder="1" applyAlignment="1">
      <alignment horizontal="left" vertical="center"/>
    </xf>
    <xf numFmtId="2" fontId="11" fillId="2" borderId="3" xfId="0" applyNumberFormat="1" applyFont="1" applyFill="1" applyBorder="1" applyAlignment="1">
      <alignment horizontal="left" vertical="center"/>
    </xf>
    <xf numFmtId="0" fontId="15" fillId="0" borderId="0" xfId="0" applyFont="1" applyBorder="1" applyAlignment="1"/>
    <xf numFmtId="0" fontId="15" fillId="11" borderId="14" xfId="0" applyFont="1" applyFill="1" applyBorder="1" applyAlignment="1">
      <alignment horizontal="center"/>
    </xf>
    <xf numFmtId="0" fontId="15" fillId="0" borderId="15" xfId="0" applyFont="1" applyBorder="1" applyAlignment="1">
      <alignment horizontal="center"/>
    </xf>
    <xf numFmtId="1" fontId="15" fillId="3" borderId="0" xfId="0" applyNumberFormat="1" applyFont="1" applyFill="1" applyBorder="1" applyAlignment="1">
      <alignment horizontal="center"/>
    </xf>
    <xf numFmtId="0" fontId="15" fillId="0" borderId="14" xfId="0" applyFont="1" applyBorder="1" applyAlignment="1">
      <alignment horizontal="center"/>
    </xf>
    <xf numFmtId="0" fontId="15" fillId="11" borderId="16" xfId="0" applyFont="1" applyFill="1" applyBorder="1" applyAlignment="1">
      <alignment horizontal="center"/>
    </xf>
    <xf numFmtId="0" fontId="16" fillId="11" borderId="4" xfId="0" applyFont="1" applyFill="1" applyBorder="1" applyAlignment="1">
      <alignment horizontal="center"/>
    </xf>
    <xf numFmtId="1" fontId="16" fillId="0" borderId="5" xfId="0" applyNumberFormat="1" applyFont="1" applyBorder="1" applyAlignment="1">
      <alignment horizontal="center"/>
    </xf>
    <xf numFmtId="0" fontId="0" fillId="0" borderId="17" xfId="0" applyBorder="1" applyAlignment="1"/>
    <xf numFmtId="0" fontId="15" fillId="0" borderId="18" xfId="0" applyFont="1" applyBorder="1" applyAlignment="1">
      <alignment horizontal="center"/>
    </xf>
    <xf numFmtId="0" fontId="15" fillId="12" borderId="0" xfId="0" applyFont="1" applyFill="1" applyBorder="1" applyAlignment="1">
      <alignment horizontal="center"/>
    </xf>
    <xf numFmtId="0" fontId="1" fillId="5" borderId="0" xfId="0" applyFont="1" applyFill="1"/>
    <xf numFmtId="0" fontId="1" fillId="2" borderId="0" xfId="0" applyFont="1" applyFill="1"/>
    <xf numFmtId="0" fontId="1" fillId="4" borderId="0" xfId="0" applyFont="1" applyFill="1"/>
    <xf numFmtId="0" fontId="1" fillId="0" borderId="0" xfId="0" applyFont="1" applyFill="1"/>
    <xf numFmtId="0" fontId="1" fillId="0" borderId="3" xfId="0" applyFont="1" applyBorder="1"/>
    <xf numFmtId="0" fontId="1" fillId="0" borderId="3" xfId="0" applyFont="1" applyFill="1" applyBorder="1"/>
    <xf numFmtId="0" fontId="1" fillId="13" borderId="3" xfId="0" applyFont="1" applyFill="1" applyBorder="1"/>
    <xf numFmtId="1" fontId="1" fillId="0" borderId="3" xfId="0" applyNumberFormat="1" applyFont="1" applyFill="1" applyBorder="1"/>
    <xf numFmtId="0" fontId="1" fillId="2" borderId="3" xfId="0" applyFont="1" applyFill="1" applyBorder="1"/>
    <xf numFmtId="0" fontId="1" fillId="5" borderId="3" xfId="0" applyFont="1" applyFill="1" applyBorder="1"/>
    <xf numFmtId="0" fontId="1" fillId="4" borderId="3" xfId="0" applyFont="1" applyFill="1" applyBorder="1"/>
    <xf numFmtId="0" fontId="17" fillId="4" borderId="3" xfId="0" applyFont="1" applyFill="1" applyBorder="1"/>
    <xf numFmtId="1" fontId="1" fillId="0" borderId="0" xfId="0" applyNumberFormat="1" applyFont="1" applyFill="1"/>
    <xf numFmtId="0" fontId="0" fillId="0" borderId="0" xfId="0" applyFill="1"/>
    <xf numFmtId="0" fontId="0" fillId="0" borderId="3" xfId="0" applyBorder="1"/>
    <xf numFmtId="0" fontId="20" fillId="10" borderId="3" xfId="0" applyFont="1" applyFill="1" applyBorder="1" applyAlignment="1">
      <alignment horizontal="center"/>
    </xf>
    <xf numFmtId="0" fontId="18" fillId="10" borderId="3" xfId="0" applyFont="1" applyFill="1" applyBorder="1"/>
    <xf numFmtId="0" fontId="19" fillId="10" borderId="3" xfId="0" applyFont="1" applyFill="1" applyBorder="1" applyAlignment="1">
      <alignment vertical="top"/>
    </xf>
    <xf numFmtId="0" fontId="20" fillId="0" borderId="0" xfId="0" applyFont="1" applyFill="1" applyBorder="1" applyAlignment="1">
      <alignment horizontal="center"/>
    </xf>
    <xf numFmtId="0" fontId="19" fillId="0" borderId="0" xfId="0" applyFont="1" applyFill="1" applyBorder="1"/>
    <xf numFmtId="0" fontId="19" fillId="0" borderId="0" xfId="0" applyFont="1" applyFill="1" applyBorder="1" applyAlignment="1">
      <alignment vertical="top"/>
    </xf>
    <xf numFmtId="165" fontId="0" fillId="0" borderId="3" xfId="0" applyNumberFormat="1" applyBorder="1"/>
    <xf numFmtId="165" fontId="0" fillId="0" borderId="5" xfId="0" applyNumberFormat="1" applyBorder="1"/>
    <xf numFmtId="2" fontId="0" fillId="0" borderId="3" xfId="0" applyNumberFormat="1" applyBorder="1"/>
    <xf numFmtId="1" fontId="0" fillId="0" borderId="3" xfId="0" applyNumberFormat="1" applyBorder="1"/>
    <xf numFmtId="0" fontId="21" fillId="0" borderId="0" xfId="0" applyFont="1"/>
    <xf numFmtId="0" fontId="21" fillId="0" borderId="0" xfId="0" applyFont="1" applyFill="1"/>
    <xf numFmtId="2" fontId="21" fillId="0" borderId="3" xfId="0" applyNumberFormat="1" applyFont="1" applyBorder="1"/>
    <xf numFmtId="0" fontId="24" fillId="0" borderId="0" xfId="0" applyFont="1"/>
    <xf numFmtId="0" fontId="24" fillId="0" borderId="19" xfId="0" applyFont="1" applyFill="1" applyBorder="1" applyAlignment="1">
      <alignment horizontal="center" vertical="top"/>
    </xf>
    <xf numFmtId="0" fontId="0" fillId="0" borderId="3" xfId="0" applyFill="1" applyBorder="1" applyAlignment="1">
      <alignment vertical="top"/>
    </xf>
    <xf numFmtId="0" fontId="25" fillId="0" borderId="3" xfId="0" applyFont="1" applyFill="1" applyBorder="1" applyAlignment="1">
      <alignment vertical="top"/>
    </xf>
    <xf numFmtId="0" fontId="23" fillId="0" borderId="3" xfId="0" applyFont="1" applyBorder="1"/>
    <xf numFmtId="0" fontId="23" fillId="0" borderId="0" xfId="0" applyFont="1"/>
    <xf numFmtId="165" fontId="0" fillId="0" borderId="3" xfId="0" applyNumberFormat="1" applyFill="1" applyBorder="1"/>
    <xf numFmtId="2" fontId="0" fillId="0" borderId="3" xfId="0" applyNumberFormat="1" applyFill="1" applyBorder="1"/>
    <xf numFmtId="0" fontId="0" fillId="0" borderId="3" xfId="0" applyFill="1" applyBorder="1"/>
    <xf numFmtId="1" fontId="0" fillId="0" borderId="3" xfId="0" applyNumberFormat="1" applyFill="1" applyBorder="1"/>
    <xf numFmtId="2" fontId="21" fillId="0" borderId="3" xfId="0" applyNumberFormat="1" applyFont="1" applyFill="1" applyBorder="1"/>
    <xf numFmtId="0" fontId="27" fillId="0" borderId="0" xfId="0" applyFont="1" applyFill="1"/>
    <xf numFmtId="0" fontId="26" fillId="13" borderId="3" xfId="0" applyFont="1" applyFill="1" applyBorder="1"/>
    <xf numFmtId="1" fontId="26" fillId="13" borderId="3" xfId="0" applyNumberFormat="1" applyFont="1" applyFill="1" applyBorder="1"/>
    <xf numFmtId="165" fontId="27" fillId="13" borderId="5" xfId="0" applyNumberFormat="1" applyFont="1" applyFill="1" applyBorder="1"/>
    <xf numFmtId="165" fontId="27" fillId="13" borderId="3" xfId="0" applyNumberFormat="1" applyFont="1" applyFill="1" applyBorder="1"/>
    <xf numFmtId="2" fontId="27" fillId="13" borderId="3" xfId="0" applyNumberFormat="1" applyFont="1" applyFill="1" applyBorder="1"/>
    <xf numFmtId="0" fontId="27" fillId="13" borderId="3" xfId="0" applyFont="1" applyFill="1" applyBorder="1"/>
    <xf numFmtId="1" fontId="27" fillId="13" borderId="3" xfId="0" applyNumberFormat="1" applyFont="1" applyFill="1" applyBorder="1"/>
    <xf numFmtId="2" fontId="28" fillId="13" borderId="3" xfId="0" applyNumberFormat="1" applyFont="1" applyFill="1" applyBorder="1"/>
    <xf numFmtId="1" fontId="1" fillId="4" borderId="3" xfId="0" applyNumberFormat="1" applyFont="1" applyFill="1" applyBorder="1"/>
    <xf numFmtId="165" fontId="0" fillId="4" borderId="3" xfId="0" applyNumberFormat="1" applyFill="1" applyBorder="1"/>
    <xf numFmtId="2" fontId="0" fillId="4" borderId="3" xfId="0" applyNumberFormat="1" applyFill="1" applyBorder="1"/>
    <xf numFmtId="1" fontId="0" fillId="4" borderId="3" xfId="0" applyNumberFormat="1" applyFill="1" applyBorder="1"/>
    <xf numFmtId="0" fontId="0" fillId="4" borderId="3" xfId="0" applyFill="1" applyBorder="1"/>
    <xf numFmtId="2" fontId="21" fillId="4" borderId="3" xfId="0" applyNumberFormat="1" applyFont="1" applyFill="1" applyBorder="1"/>
    <xf numFmtId="0" fontId="27" fillId="0" borderId="0" xfId="0" applyFont="1"/>
    <xf numFmtId="0" fontId="21" fillId="0" borderId="0" xfId="0" applyFont="1" applyFill="1" applyBorder="1"/>
    <xf numFmtId="0" fontId="0" fillId="0" borderId="0" xfId="0" applyFill="1" applyBorder="1"/>
    <xf numFmtId="0" fontId="19" fillId="10" borderId="3" xfId="0" applyFont="1" applyFill="1" applyBorder="1" applyAlignment="1">
      <alignment vertical="center"/>
    </xf>
    <xf numFmtId="0" fontId="29" fillId="10" borderId="3" xfId="0" applyFont="1" applyFill="1" applyBorder="1" applyAlignment="1">
      <alignment horizontal="center" vertical="center" wrapText="1"/>
    </xf>
    <xf numFmtId="165" fontId="0" fillId="0" borderId="0" xfId="0" applyNumberFormat="1"/>
    <xf numFmtId="0" fontId="22" fillId="13" borderId="5" xfId="0" applyFont="1" applyFill="1" applyBorder="1"/>
    <xf numFmtId="0" fontId="1" fillId="0" borderId="0" xfId="0" applyFont="1" applyFill="1" applyBorder="1"/>
    <xf numFmtId="0" fontId="29" fillId="10" borderId="1" xfId="0" applyFont="1" applyFill="1" applyBorder="1" applyAlignment="1">
      <alignment horizontal="center" vertical="center"/>
    </xf>
    <xf numFmtId="0" fontId="19" fillId="10" borderId="1" xfId="0" applyFont="1" applyFill="1" applyBorder="1" applyAlignment="1">
      <alignment vertical="center"/>
    </xf>
    <xf numFmtId="0" fontId="22" fillId="13" borderId="5" xfId="0" applyFont="1" applyFill="1" applyBorder="1" applyAlignment="1">
      <alignment wrapText="1"/>
    </xf>
    <xf numFmtId="0" fontId="22" fillId="13" borderId="26" xfId="0" applyFont="1" applyFill="1" applyBorder="1"/>
    <xf numFmtId="1" fontId="0" fillId="0" borderId="1" xfId="0" applyNumberFormat="1" applyBorder="1"/>
    <xf numFmtId="1" fontId="27" fillId="13" borderId="1" xfId="0" applyNumberFormat="1" applyFont="1" applyFill="1" applyBorder="1"/>
    <xf numFmtId="0" fontId="0" fillId="4" borderId="1" xfId="0" applyFill="1" applyBorder="1"/>
    <xf numFmtId="0" fontId="0" fillId="0" borderId="1" xfId="0" applyBorder="1"/>
    <xf numFmtId="1" fontId="0" fillId="0" borderId="1" xfId="0" applyNumberFormat="1" applyFill="1" applyBorder="1"/>
    <xf numFmtId="0" fontId="0" fillId="13" borderId="3" xfId="0" applyFill="1" applyBorder="1"/>
    <xf numFmtId="2" fontId="0" fillId="0" borderId="1" xfId="0" applyNumberFormat="1" applyBorder="1"/>
    <xf numFmtId="43" fontId="0" fillId="0" borderId="3" xfId="1" applyFont="1" applyBorder="1"/>
    <xf numFmtId="0" fontId="0" fillId="2" borderId="0" xfId="0" applyFill="1"/>
    <xf numFmtId="11" fontId="0" fillId="0" borderId="3" xfId="0" applyNumberFormat="1" applyBorder="1"/>
    <xf numFmtId="0" fontId="22" fillId="13" borderId="5" xfId="0" applyFont="1" applyFill="1" applyBorder="1" applyAlignment="1">
      <alignment horizontal="center"/>
    </xf>
    <xf numFmtId="0" fontId="24" fillId="0" borderId="3" xfId="0" applyFont="1" applyFill="1" applyBorder="1" applyAlignment="1">
      <alignment horizontal="center" vertical="top"/>
    </xf>
    <xf numFmtId="0" fontId="0" fillId="0" borderId="0" xfId="0" applyBorder="1" applyAlignment="1">
      <alignment horizontal="center"/>
    </xf>
    <xf numFmtId="0" fontId="3" fillId="0" borderId="3" xfId="0" applyFont="1" applyBorder="1"/>
    <xf numFmtId="16" fontId="0" fillId="0" borderId="0" xfId="0" applyNumberFormat="1"/>
    <xf numFmtId="0" fontId="22" fillId="13" borderId="26" xfId="0" applyFont="1" applyFill="1" applyBorder="1" applyAlignment="1">
      <alignment wrapText="1"/>
    </xf>
    <xf numFmtId="1" fontId="23" fillId="0" borderId="3" xfId="0" applyNumberFormat="1" applyFont="1" applyFill="1" applyBorder="1" applyAlignment="1">
      <alignment vertical="top"/>
    </xf>
    <xf numFmtId="1" fontId="27" fillId="9" borderId="0" xfId="0" applyNumberFormat="1" applyFont="1" applyFill="1"/>
    <xf numFmtId="0" fontId="18" fillId="0" borderId="0" xfId="0" applyFont="1" applyFill="1" applyBorder="1"/>
    <xf numFmtId="0" fontId="19" fillId="0" borderId="0" xfId="0" applyFont="1" applyFill="1" applyBorder="1" applyAlignment="1">
      <alignment vertical="center"/>
    </xf>
    <xf numFmtId="0" fontId="29" fillId="0" borderId="0" xfId="0" applyFont="1" applyFill="1" applyBorder="1" applyAlignment="1">
      <alignment horizontal="center" vertical="center" wrapText="1"/>
    </xf>
    <xf numFmtId="0" fontId="1" fillId="0" borderId="0" xfId="0" applyNumberFormat="1" applyFont="1" applyFill="1" applyBorder="1"/>
    <xf numFmtId="0" fontId="22" fillId="13" borderId="19" xfId="0" applyFont="1" applyFill="1" applyBorder="1"/>
    <xf numFmtId="0" fontId="22" fillId="13" borderId="3" xfId="0" applyFont="1" applyFill="1" applyBorder="1"/>
    <xf numFmtId="0" fontId="0" fillId="0" borderId="3" xfId="0" applyNumberFormat="1" applyBorder="1"/>
    <xf numFmtId="0" fontId="0" fillId="0" borderId="4" xfId="0" applyBorder="1"/>
    <xf numFmtId="0" fontId="22" fillId="15" borderId="5" xfId="0" applyFont="1" applyFill="1" applyBorder="1"/>
    <xf numFmtId="1" fontId="0" fillId="15" borderId="3" xfId="0" applyNumberFormat="1" applyFill="1" applyBorder="1"/>
    <xf numFmtId="0" fontId="0" fillId="15" borderId="3" xfId="0" applyFill="1" applyBorder="1"/>
    <xf numFmtId="0" fontId="26" fillId="15" borderId="3" xfId="0" applyFont="1" applyFill="1" applyBorder="1"/>
    <xf numFmtId="1" fontId="0" fillId="15" borderId="1" xfId="0" applyNumberFormat="1" applyFill="1" applyBorder="1"/>
    <xf numFmtId="0" fontId="27" fillId="15" borderId="3" xfId="0" applyFont="1" applyFill="1" applyBorder="1"/>
    <xf numFmtId="0" fontId="1" fillId="15" borderId="0" xfId="0" applyFont="1" applyFill="1"/>
    <xf numFmtId="0" fontId="1" fillId="14" borderId="0" xfId="0" applyFont="1" applyFill="1" applyBorder="1"/>
    <xf numFmtId="0" fontId="1" fillId="14" borderId="0" xfId="2" applyNumberFormat="1" applyFont="1" applyFill="1" applyBorder="1"/>
    <xf numFmtId="0" fontId="1" fillId="14" borderId="0" xfId="0" applyFont="1" applyFill="1"/>
    <xf numFmtId="2" fontId="27" fillId="13" borderId="1" xfId="0" applyNumberFormat="1" applyFont="1" applyFill="1" applyBorder="1"/>
    <xf numFmtId="0" fontId="27" fillId="9" borderId="1" xfId="0" applyFont="1" applyFill="1" applyBorder="1"/>
    <xf numFmtId="164" fontId="1" fillId="0" borderId="1" xfId="0" applyNumberFormat="1" applyFont="1" applyFill="1" applyBorder="1"/>
    <xf numFmtId="0" fontId="26" fillId="9" borderId="1" xfId="0" applyFont="1" applyFill="1" applyBorder="1"/>
    <xf numFmtId="0" fontId="22" fillId="13" borderId="0" xfId="0" applyFont="1" applyFill="1" applyBorder="1"/>
    <xf numFmtId="0" fontId="0" fillId="0" borderId="2" xfId="0" applyBorder="1"/>
    <xf numFmtId="11" fontId="0" fillId="0" borderId="2" xfId="0" applyNumberFormat="1" applyBorder="1"/>
    <xf numFmtId="0" fontId="27" fillId="13" borderId="2" xfId="0" applyFont="1" applyFill="1" applyBorder="1"/>
    <xf numFmtId="1" fontId="0" fillId="0" borderId="2" xfId="0" applyNumberFormat="1" applyBorder="1"/>
    <xf numFmtId="0" fontId="0" fillId="0" borderId="7" xfId="0" applyBorder="1"/>
    <xf numFmtId="1" fontId="27" fillId="13" borderId="7" xfId="0" applyNumberFormat="1" applyFont="1" applyFill="1" applyBorder="1"/>
    <xf numFmtId="1" fontId="27" fillId="9" borderId="2" xfId="0" applyNumberFormat="1" applyFont="1" applyFill="1" applyBorder="1"/>
    <xf numFmtId="0" fontId="27" fillId="13" borderId="28" xfId="0" applyFont="1" applyFill="1" applyBorder="1"/>
    <xf numFmtId="0" fontId="26" fillId="9" borderId="29" xfId="0" applyFont="1" applyFill="1" applyBorder="1"/>
    <xf numFmtId="0" fontId="36" fillId="13" borderId="23" xfId="0" applyFont="1" applyFill="1" applyBorder="1" applyAlignment="1">
      <alignment wrapText="1"/>
    </xf>
    <xf numFmtId="1" fontId="23" fillId="0" borderId="28" xfId="0" applyNumberFormat="1" applyFont="1" applyBorder="1"/>
    <xf numFmtId="0" fontId="23" fillId="0" borderId="28" xfId="0" applyFont="1" applyBorder="1"/>
    <xf numFmtId="0" fontId="23" fillId="9" borderId="24" xfId="0" applyFont="1" applyFill="1" applyBorder="1"/>
    <xf numFmtId="0" fontId="23" fillId="9" borderId="28" xfId="0" applyFont="1" applyFill="1" applyBorder="1"/>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7" xfId="0" applyFont="1" applyFill="1" applyBorder="1" applyAlignment="1">
      <alignment horizontal="center"/>
    </xf>
    <xf numFmtId="0" fontId="2" fillId="10" borderId="1" xfId="0" applyFont="1" applyFill="1" applyBorder="1" applyAlignment="1">
      <alignment horizontal="center"/>
    </xf>
    <xf numFmtId="0" fontId="2" fillId="10" borderId="7" xfId="0" applyFont="1" applyFill="1"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24" fillId="0" borderId="4" xfId="0" applyFont="1" applyFill="1" applyBorder="1" applyAlignment="1">
      <alignment horizontal="center" vertical="top"/>
    </xf>
    <xf numFmtId="0" fontId="24" fillId="0" borderId="5" xfId="0" applyFont="1" applyFill="1" applyBorder="1" applyAlignment="1">
      <alignment horizontal="center" vertical="top"/>
    </xf>
    <xf numFmtId="0" fontId="24" fillId="0" borderId="4" xfId="0" applyFont="1" applyFill="1" applyBorder="1" applyAlignment="1">
      <alignment horizontal="center" vertical="top" wrapText="1"/>
    </xf>
    <xf numFmtId="0" fontId="24" fillId="0" borderId="5" xfId="0" applyFont="1" applyFill="1" applyBorder="1" applyAlignment="1">
      <alignment horizontal="center" vertical="top" wrapText="1"/>
    </xf>
    <xf numFmtId="0" fontId="24" fillId="0" borderId="4" xfId="0" applyFont="1" applyBorder="1" applyAlignment="1">
      <alignment horizontal="center" wrapText="1"/>
    </xf>
    <xf numFmtId="0" fontId="24" fillId="0" borderId="5" xfId="0" applyFont="1" applyBorder="1" applyAlignment="1">
      <alignment horizontal="center" wrapText="1"/>
    </xf>
    <xf numFmtId="0" fontId="0" fillId="0" borderId="2" xfId="0" applyBorder="1" applyAlignment="1">
      <alignment horizontal="center"/>
    </xf>
    <xf numFmtId="0" fontId="24" fillId="0" borderId="4" xfId="0" applyFont="1" applyBorder="1" applyAlignment="1">
      <alignment horizontal="center"/>
    </xf>
    <xf numFmtId="0" fontId="24" fillId="0" borderId="5" xfId="0" applyFont="1" applyBorder="1" applyAlignment="1">
      <alignment horizontal="center"/>
    </xf>
    <xf numFmtId="0" fontId="24" fillId="0" borderId="3" xfId="0" applyFont="1" applyFill="1" applyBorder="1" applyAlignment="1">
      <alignment horizontal="center" vertical="top"/>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0" fillId="0" borderId="27" xfId="0" applyBorder="1" applyAlignment="1">
      <alignment horizontal="center"/>
    </xf>
    <xf numFmtId="0" fontId="24" fillId="0" borderId="3" xfId="0" applyFont="1" applyBorder="1" applyAlignment="1">
      <alignment horizontal="center"/>
    </xf>
    <xf numFmtId="0" fontId="32" fillId="10" borderId="23" xfId="0" applyFont="1" applyFill="1" applyBorder="1" applyAlignment="1">
      <alignment horizontal="center" vertical="center" wrapText="1"/>
    </xf>
    <xf numFmtId="0" fontId="32" fillId="10" borderId="24" xfId="0" applyFont="1" applyFill="1" applyBorder="1" applyAlignment="1">
      <alignment horizontal="center" vertical="center" wrapText="1"/>
    </xf>
    <xf numFmtId="0" fontId="32" fillId="10" borderId="25" xfId="0" applyFont="1" applyFill="1" applyBorder="1" applyAlignment="1">
      <alignment horizontal="center" vertical="center" wrapText="1"/>
    </xf>
    <xf numFmtId="0" fontId="30" fillId="0" borderId="20" xfId="0" applyFont="1" applyFill="1" applyBorder="1" applyAlignment="1">
      <alignment horizontal="center" vertical="top" wrapText="1"/>
    </xf>
    <xf numFmtId="0" fontId="31" fillId="0" borderId="21" xfId="0" applyFont="1" applyFill="1" applyBorder="1" applyAlignment="1">
      <alignment horizontal="center" vertical="top" wrapText="1"/>
    </xf>
    <xf numFmtId="0" fontId="31" fillId="0" borderId="22" xfId="0" applyFont="1" applyFill="1" applyBorder="1" applyAlignment="1">
      <alignment horizontal="center" vertical="top" wrapText="1"/>
    </xf>
    <xf numFmtId="0" fontId="35" fillId="0" borderId="20" xfId="0" applyFont="1" applyBorder="1" applyAlignment="1">
      <alignment horizontal="center"/>
    </xf>
    <xf numFmtId="0" fontId="35" fillId="0" borderId="21" xfId="0" applyFont="1" applyBorder="1" applyAlignment="1">
      <alignment horizontal="center"/>
    </xf>
    <xf numFmtId="0" fontId="35" fillId="0" borderId="22" xfId="0" applyFont="1" applyBorder="1" applyAlignment="1">
      <alignment horizontal="center"/>
    </xf>
    <xf numFmtId="0" fontId="33" fillId="0" borderId="20" xfId="0" applyFont="1" applyBorder="1" applyAlignment="1">
      <alignment horizontal="center"/>
    </xf>
    <xf numFmtId="0" fontId="33" fillId="0" borderId="21" xfId="0" applyFont="1" applyBorder="1" applyAlignment="1">
      <alignment horizontal="center"/>
    </xf>
    <xf numFmtId="0" fontId="33" fillId="0" borderId="22" xfId="0" applyFont="1" applyBorder="1" applyAlignment="1">
      <alignment horizontal="center"/>
    </xf>
    <xf numFmtId="0" fontId="0" fillId="0" borderId="0" xfId="0" applyAlignment="1">
      <alignment horizontal="center"/>
    </xf>
    <xf numFmtId="0" fontId="37" fillId="0" borderId="0" xfId="0" applyFont="1"/>
    <xf numFmtId="43" fontId="37" fillId="0" borderId="0" xfId="0" applyNumberFormat="1" applyFont="1"/>
    <xf numFmtId="0" fontId="37" fillId="10" borderId="0" xfId="0" applyFont="1" applyFill="1" applyBorder="1"/>
    <xf numFmtId="0" fontId="43" fillId="0" borderId="0" xfId="0" applyFont="1" applyAlignment="1">
      <alignment horizontal="center"/>
    </xf>
    <xf numFmtId="0" fontId="37" fillId="10" borderId="3" xfId="0" applyFont="1" applyFill="1" applyBorder="1" applyAlignment="1">
      <alignment horizontal="right"/>
    </xf>
    <xf numFmtId="0" fontId="37" fillId="0" borderId="3" xfId="0" applyFont="1" applyBorder="1"/>
    <xf numFmtId="0" fontId="37" fillId="0" borderId="3" xfId="0" applyFont="1" applyBorder="1" applyAlignment="1">
      <alignment horizontal="right"/>
    </xf>
    <xf numFmtId="0" fontId="37" fillId="10" borderId="1" xfId="0" applyFont="1" applyFill="1" applyBorder="1" applyAlignment="1">
      <alignment horizontal="left"/>
    </xf>
    <xf numFmtId="0" fontId="37" fillId="10" borderId="2" xfId="0" applyFont="1" applyFill="1" applyBorder="1" applyAlignment="1">
      <alignment horizontal="left"/>
    </xf>
    <xf numFmtId="166" fontId="37" fillId="13" borderId="3" xfId="1" applyNumberFormat="1" applyFont="1" applyFill="1" applyBorder="1" applyAlignment="1">
      <alignment horizontal="center" vertical="center" wrapText="1"/>
    </xf>
    <xf numFmtId="166" fontId="37" fillId="13" borderId="3" xfId="1" applyNumberFormat="1" applyFont="1" applyFill="1" applyBorder="1" applyAlignment="1">
      <alignment horizontal="center" vertical="top"/>
    </xf>
    <xf numFmtId="0" fontId="37" fillId="13" borderId="3" xfId="0" applyFont="1" applyFill="1" applyBorder="1" applyAlignment="1">
      <alignment horizontal="center" vertical="top" wrapText="1"/>
    </xf>
    <xf numFmtId="166" fontId="37" fillId="13" borderId="3" xfId="1" applyNumberFormat="1" applyFont="1" applyFill="1" applyBorder="1" applyAlignment="1">
      <alignment horizontal="center" vertical="top" wrapText="1"/>
    </xf>
    <xf numFmtId="166" fontId="37" fillId="13" borderId="3" xfId="1" applyNumberFormat="1" applyFont="1" applyFill="1" applyBorder="1" applyAlignment="1">
      <alignment horizontal="center" vertical="top" wrapText="1"/>
    </xf>
    <xf numFmtId="166" fontId="37" fillId="13" borderId="3" xfId="1" applyNumberFormat="1" applyFont="1" applyFill="1" applyBorder="1" applyAlignment="1">
      <alignment horizontal="center" vertical="top"/>
    </xf>
    <xf numFmtId="166" fontId="37" fillId="0" borderId="3" xfId="1" applyNumberFormat="1" applyFont="1" applyBorder="1"/>
    <xf numFmtId="166" fontId="39" fillId="0" borderId="3" xfId="1" applyNumberFormat="1" applyFont="1" applyBorder="1"/>
    <xf numFmtId="2" fontId="39" fillId="0" borderId="3" xfId="0" applyNumberFormat="1" applyFont="1" applyFill="1" applyBorder="1"/>
    <xf numFmtId="2" fontId="37" fillId="0" borderId="3" xfId="0" applyNumberFormat="1" applyFont="1" applyBorder="1"/>
    <xf numFmtId="0" fontId="37" fillId="0" borderId="3" xfId="0" applyFont="1" applyFill="1" applyBorder="1"/>
    <xf numFmtId="0" fontId="37" fillId="10" borderId="30" xfId="0" applyFont="1" applyFill="1" applyBorder="1" applyAlignment="1">
      <alignment horizontal="right"/>
    </xf>
    <xf numFmtId="0" fontId="37" fillId="10" borderId="31" xfId="0" applyFont="1" applyFill="1" applyBorder="1" applyAlignment="1">
      <alignment horizontal="right"/>
    </xf>
    <xf numFmtId="0" fontId="37" fillId="10" borderId="32" xfId="0" applyFont="1" applyFill="1" applyBorder="1" applyAlignment="1">
      <alignment horizontal="left"/>
    </xf>
    <xf numFmtId="0" fontId="37" fillId="10" borderId="33" xfId="0" applyFont="1" applyFill="1" applyBorder="1" applyAlignment="1">
      <alignment horizontal="left"/>
    </xf>
    <xf numFmtId="0" fontId="37" fillId="10" borderId="34" xfId="0" applyFont="1" applyFill="1" applyBorder="1" applyAlignment="1">
      <alignment horizontal="left"/>
    </xf>
    <xf numFmtId="0" fontId="37" fillId="10" borderId="35" xfId="0" applyFont="1" applyFill="1" applyBorder="1" applyAlignment="1">
      <alignment horizontal="right"/>
    </xf>
    <xf numFmtId="0" fontId="37" fillId="10" borderId="36" xfId="0" applyFont="1" applyFill="1" applyBorder="1" applyAlignment="1">
      <alignment horizontal="left"/>
    </xf>
    <xf numFmtId="0" fontId="37" fillId="10" borderId="37" xfId="0" applyFont="1" applyFill="1" applyBorder="1" applyAlignment="1">
      <alignment horizontal="right"/>
    </xf>
    <xf numFmtId="0" fontId="37" fillId="10" borderId="38" xfId="0" applyFont="1" applyFill="1" applyBorder="1" applyAlignment="1">
      <alignment horizontal="right"/>
    </xf>
    <xf numFmtId="0" fontId="37" fillId="10" borderId="39" xfId="0" applyFont="1" applyFill="1" applyBorder="1" applyAlignment="1">
      <alignment horizontal="left"/>
    </xf>
    <xf numFmtId="0" fontId="37" fillId="10" borderId="40" xfId="0" applyFont="1" applyFill="1" applyBorder="1" applyAlignment="1">
      <alignment horizontal="left"/>
    </xf>
    <xf numFmtId="0" fontId="37" fillId="10" borderId="41" xfId="0" applyFont="1" applyFill="1" applyBorder="1" applyAlignment="1">
      <alignment horizontal="left"/>
    </xf>
    <xf numFmtId="0" fontId="37" fillId="0" borderId="30" xfId="0" applyFont="1" applyBorder="1" applyAlignment="1">
      <alignment horizontal="right"/>
    </xf>
    <xf numFmtId="0" fontId="37" fillId="0" borderId="31" xfId="0" applyFont="1" applyBorder="1" applyAlignment="1">
      <alignment horizontal="right"/>
    </xf>
    <xf numFmtId="43" fontId="37" fillId="0" borderId="42" xfId="0" applyNumberFormat="1" applyFont="1" applyBorder="1" applyAlignment="1">
      <alignment horizontal="fill"/>
    </xf>
    <xf numFmtId="0" fontId="37" fillId="0" borderId="35" xfId="0" applyFont="1" applyBorder="1" applyAlignment="1">
      <alignment horizontal="right"/>
    </xf>
    <xf numFmtId="43" fontId="37" fillId="0" borderId="43" xfId="0" applyNumberFormat="1" applyFont="1" applyBorder="1" applyAlignment="1">
      <alignment horizontal="fill"/>
    </xf>
    <xf numFmtId="0" fontId="37" fillId="0" borderId="37" xfId="0" applyFont="1" applyBorder="1" applyAlignment="1">
      <alignment horizontal="right"/>
    </xf>
    <xf numFmtId="0" fontId="37" fillId="0" borderId="38" xfId="0" applyFont="1" applyBorder="1" applyAlignment="1">
      <alignment horizontal="right"/>
    </xf>
    <xf numFmtId="43" fontId="37" fillId="0" borderId="44" xfId="0" applyNumberFormat="1" applyFont="1" applyBorder="1" applyAlignment="1">
      <alignment horizontal="fill"/>
    </xf>
    <xf numFmtId="0" fontId="38" fillId="0" borderId="30" xfId="0" applyFont="1" applyBorder="1" applyAlignment="1">
      <alignment horizontal="center"/>
    </xf>
    <xf numFmtId="0" fontId="38" fillId="0" borderId="31" xfId="0" applyFont="1" applyBorder="1" applyAlignment="1">
      <alignment horizontal="center"/>
    </xf>
    <xf numFmtId="0" fontId="37" fillId="0" borderId="42" xfId="0" applyFont="1" applyBorder="1" applyAlignment="1"/>
    <xf numFmtId="0" fontId="37" fillId="13" borderId="35" xfId="0" applyFont="1" applyFill="1" applyBorder="1" applyAlignment="1">
      <alignment horizontal="center" vertical="top"/>
    </xf>
    <xf numFmtId="0" fontId="37" fillId="13" borderId="43" xfId="0" applyFont="1" applyFill="1" applyBorder="1" applyAlignment="1">
      <alignment horizontal="center" vertical="center" wrapText="1"/>
    </xf>
    <xf numFmtId="0" fontId="37" fillId="13" borderId="35" xfId="0" applyFont="1" applyFill="1" applyBorder="1" applyAlignment="1">
      <alignment vertical="top"/>
    </xf>
    <xf numFmtId="0" fontId="39" fillId="0" borderId="43" xfId="0" applyFont="1" applyFill="1" applyBorder="1"/>
    <xf numFmtId="0" fontId="37" fillId="0" borderId="43" xfId="0" applyFont="1" applyBorder="1"/>
    <xf numFmtId="0" fontId="37" fillId="0" borderId="43" xfId="0" applyFont="1" applyFill="1" applyBorder="1"/>
    <xf numFmtId="0" fontId="40" fillId="13" borderId="37" xfId="0" applyFont="1" applyFill="1" applyBorder="1" applyAlignment="1">
      <alignment vertical="top"/>
    </xf>
    <xf numFmtId="166" fontId="41" fillId="0" borderId="38" xfId="1" applyNumberFormat="1" applyFont="1" applyBorder="1"/>
    <xf numFmtId="166" fontId="42" fillId="0" borderId="38" xfId="1" applyNumberFormat="1" applyFont="1" applyBorder="1"/>
    <xf numFmtId="0" fontId="41" fillId="0" borderId="38" xfId="0" applyFont="1" applyBorder="1"/>
    <xf numFmtId="0" fontId="41" fillId="0" borderId="44" xfId="0" applyFont="1" applyBorder="1"/>
    <xf numFmtId="0" fontId="37" fillId="0" borderId="30" xfId="0" applyFont="1" applyBorder="1"/>
    <xf numFmtId="166" fontId="37" fillId="0" borderId="31" xfId="1" applyNumberFormat="1" applyFont="1" applyFill="1" applyBorder="1" applyAlignment="1">
      <alignment horizontal="center"/>
    </xf>
    <xf numFmtId="166" fontId="37" fillId="0" borderId="42" xfId="1" applyNumberFormat="1" applyFont="1" applyFill="1" applyBorder="1" applyAlignment="1">
      <alignment horizontal="center"/>
    </xf>
    <xf numFmtId="166" fontId="37" fillId="13" borderId="43" xfId="1" applyNumberFormat="1" applyFont="1" applyFill="1" applyBorder="1" applyAlignment="1">
      <alignment horizontal="center" vertical="center"/>
    </xf>
    <xf numFmtId="166" fontId="39" fillId="0" borderId="43" xfId="1" applyNumberFormat="1" applyFont="1" applyBorder="1"/>
    <xf numFmtId="166" fontId="42" fillId="0" borderId="44" xfId="1" applyNumberFormat="1" applyFont="1" applyBorder="1"/>
    <xf numFmtId="0" fontId="37" fillId="0" borderId="42" xfId="0" applyFont="1" applyBorder="1"/>
    <xf numFmtId="0" fontId="37" fillId="13" borderId="35" xfId="0" applyFont="1" applyFill="1" applyBorder="1" applyAlignment="1">
      <alignment horizontal="center" vertical="center"/>
    </xf>
    <xf numFmtId="166" fontId="37" fillId="13" borderId="43" xfId="1" applyNumberFormat="1" applyFont="1" applyFill="1" applyBorder="1" applyAlignment="1">
      <alignment horizontal="center" vertical="center" wrapText="1"/>
    </xf>
    <xf numFmtId="43" fontId="39" fillId="0" borderId="43" xfId="1" applyNumberFormat="1" applyFont="1" applyBorder="1"/>
    <xf numFmtId="0" fontId="37" fillId="13" borderId="37" xfId="0" applyFont="1" applyFill="1" applyBorder="1" applyAlignment="1">
      <alignment vertical="top"/>
    </xf>
    <xf numFmtId="43" fontId="39" fillId="0" borderId="44" xfId="1" applyNumberFormat="1" applyFont="1" applyBorder="1"/>
    <xf numFmtId="0" fontId="40" fillId="0" borderId="45" xfId="0" applyFont="1" applyFill="1" applyBorder="1" applyAlignment="1">
      <alignment vertical="top"/>
    </xf>
    <xf numFmtId="166" fontId="42" fillId="0" borderId="45" xfId="1" applyNumberFormat="1" applyFont="1" applyFill="1" applyBorder="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66CC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Maverick</a:t>
            </a:r>
          </a:p>
        </c:rich>
      </c:tx>
    </c:title>
    <c:plotArea>
      <c:layout/>
      <c:lineChart>
        <c:grouping val="standard"/>
        <c:ser>
          <c:idx val="1"/>
          <c:order val="0"/>
          <c:tx>
            <c:strRef>
              <c:f>percentiles_mse!$C$2</c:f>
              <c:strCache>
                <c:ptCount val="1"/>
                <c:pt idx="0">
                  <c:v>MSE Year of Move</c:v>
                </c:pt>
              </c:strCache>
            </c:strRef>
          </c:tx>
          <c:marker>
            <c:symbol val="none"/>
          </c:marker>
          <c:val>
            <c:numRef>
              <c:f>percentiles_mse!$C$3:$C$101</c:f>
              <c:numCache>
                <c:formatCode>General</c:formatCode>
                <c:ptCount val="99"/>
                <c:pt idx="0">
                  <c:v>22104.579015439998</c:v>
                </c:pt>
                <c:pt idx="1">
                  <c:v>22104.579015439998</c:v>
                </c:pt>
                <c:pt idx="2">
                  <c:v>22104.579015439998</c:v>
                </c:pt>
                <c:pt idx="3">
                  <c:v>22104.579015439998</c:v>
                </c:pt>
                <c:pt idx="4">
                  <c:v>22104.579015439998</c:v>
                </c:pt>
                <c:pt idx="5">
                  <c:v>22104.579015439998</c:v>
                </c:pt>
                <c:pt idx="6">
                  <c:v>22104.579015439998</c:v>
                </c:pt>
                <c:pt idx="7">
                  <c:v>22104.579015439998</c:v>
                </c:pt>
                <c:pt idx="8">
                  <c:v>22104.579015439998</c:v>
                </c:pt>
                <c:pt idx="9">
                  <c:v>22104.579015439998</c:v>
                </c:pt>
                <c:pt idx="10">
                  <c:v>22104.579015439998</c:v>
                </c:pt>
                <c:pt idx="11">
                  <c:v>22104.579015439998</c:v>
                </c:pt>
                <c:pt idx="12">
                  <c:v>22104.579015439998</c:v>
                </c:pt>
                <c:pt idx="13">
                  <c:v>22104.579015439998</c:v>
                </c:pt>
                <c:pt idx="14">
                  <c:v>22104.579015439998</c:v>
                </c:pt>
                <c:pt idx="15">
                  <c:v>22104.579015439998</c:v>
                </c:pt>
                <c:pt idx="16">
                  <c:v>22104.579015439998</c:v>
                </c:pt>
                <c:pt idx="17">
                  <c:v>22104.579015439998</c:v>
                </c:pt>
                <c:pt idx="18">
                  <c:v>22104.579015439998</c:v>
                </c:pt>
                <c:pt idx="19">
                  <c:v>22104.579015439998</c:v>
                </c:pt>
                <c:pt idx="20">
                  <c:v>22104.579015439998</c:v>
                </c:pt>
                <c:pt idx="21">
                  <c:v>22104.579015439998</c:v>
                </c:pt>
                <c:pt idx="22">
                  <c:v>22104.579015439998</c:v>
                </c:pt>
                <c:pt idx="23">
                  <c:v>22104.579015439998</c:v>
                </c:pt>
                <c:pt idx="24">
                  <c:v>22104.579015439998</c:v>
                </c:pt>
                <c:pt idx="25">
                  <c:v>22104.579015439998</c:v>
                </c:pt>
                <c:pt idx="26">
                  <c:v>22104.579015439998</c:v>
                </c:pt>
                <c:pt idx="27">
                  <c:v>22104.579015439998</c:v>
                </c:pt>
                <c:pt idx="28">
                  <c:v>22104.579015439998</c:v>
                </c:pt>
                <c:pt idx="29">
                  <c:v>22104.579015439998</c:v>
                </c:pt>
                <c:pt idx="30">
                  <c:v>22104.579015439998</c:v>
                </c:pt>
                <c:pt idx="31">
                  <c:v>22104.579015439998</c:v>
                </c:pt>
                <c:pt idx="32">
                  <c:v>22104.579015439998</c:v>
                </c:pt>
                <c:pt idx="33">
                  <c:v>22104.579015439998</c:v>
                </c:pt>
                <c:pt idx="34">
                  <c:v>22104.579015439998</c:v>
                </c:pt>
                <c:pt idx="35">
                  <c:v>25557.020001109999</c:v>
                </c:pt>
                <c:pt idx="36">
                  <c:v>25557.020001109999</c:v>
                </c:pt>
                <c:pt idx="37">
                  <c:v>25557.020001109999</c:v>
                </c:pt>
                <c:pt idx="38">
                  <c:v>25557.020001109999</c:v>
                </c:pt>
                <c:pt idx="39">
                  <c:v>25557.020001109999</c:v>
                </c:pt>
                <c:pt idx="40">
                  <c:v>25557.020001109999</c:v>
                </c:pt>
                <c:pt idx="41">
                  <c:v>25557.020001109999</c:v>
                </c:pt>
                <c:pt idx="42">
                  <c:v>25557.020001109999</c:v>
                </c:pt>
                <c:pt idx="43">
                  <c:v>25557.020001109999</c:v>
                </c:pt>
                <c:pt idx="44">
                  <c:v>25557.020001109999</c:v>
                </c:pt>
                <c:pt idx="45">
                  <c:v>25557.020001109999</c:v>
                </c:pt>
                <c:pt idx="46">
                  <c:v>25557.020001109999</c:v>
                </c:pt>
                <c:pt idx="47">
                  <c:v>25557.020001109999</c:v>
                </c:pt>
                <c:pt idx="48">
                  <c:v>30091.492441310002</c:v>
                </c:pt>
                <c:pt idx="49">
                  <c:v>30091.492441310002</c:v>
                </c:pt>
                <c:pt idx="50">
                  <c:v>30091.492441310002</c:v>
                </c:pt>
                <c:pt idx="51">
                  <c:v>30091.492441310002</c:v>
                </c:pt>
                <c:pt idx="52">
                  <c:v>30091.492441310002</c:v>
                </c:pt>
                <c:pt idx="53">
                  <c:v>30091.492441310002</c:v>
                </c:pt>
                <c:pt idx="54">
                  <c:v>30091.492441310002</c:v>
                </c:pt>
                <c:pt idx="55">
                  <c:v>30091.492441310002</c:v>
                </c:pt>
                <c:pt idx="56">
                  <c:v>30091.492441310002</c:v>
                </c:pt>
                <c:pt idx="57">
                  <c:v>30091.492441310002</c:v>
                </c:pt>
                <c:pt idx="58">
                  <c:v>30091.492441310002</c:v>
                </c:pt>
                <c:pt idx="59">
                  <c:v>30091.492441310002</c:v>
                </c:pt>
                <c:pt idx="60">
                  <c:v>30091.492441310002</c:v>
                </c:pt>
                <c:pt idx="61">
                  <c:v>30091.492441310002</c:v>
                </c:pt>
                <c:pt idx="62">
                  <c:v>30091.492441310002</c:v>
                </c:pt>
                <c:pt idx="63">
                  <c:v>30091.492441310002</c:v>
                </c:pt>
                <c:pt idx="64">
                  <c:v>30091.492441310002</c:v>
                </c:pt>
                <c:pt idx="65">
                  <c:v>30091.492441310002</c:v>
                </c:pt>
                <c:pt idx="66">
                  <c:v>30091.492441310002</c:v>
                </c:pt>
                <c:pt idx="67">
                  <c:v>30091.492441310002</c:v>
                </c:pt>
                <c:pt idx="68">
                  <c:v>30091.492441310002</c:v>
                </c:pt>
                <c:pt idx="69">
                  <c:v>30091.492441310002</c:v>
                </c:pt>
                <c:pt idx="70">
                  <c:v>30091.492441310002</c:v>
                </c:pt>
                <c:pt idx="71">
                  <c:v>30091.492441310002</c:v>
                </c:pt>
                <c:pt idx="72">
                  <c:v>30091.492441310002</c:v>
                </c:pt>
                <c:pt idx="73">
                  <c:v>30091.492441310002</c:v>
                </c:pt>
                <c:pt idx="74">
                  <c:v>30091.492441310002</c:v>
                </c:pt>
                <c:pt idx="75">
                  <c:v>35196.451565989999</c:v>
                </c:pt>
                <c:pt idx="76">
                  <c:v>35196.451565989999</c:v>
                </c:pt>
                <c:pt idx="77">
                  <c:v>35196.451565989999</c:v>
                </c:pt>
                <c:pt idx="78">
                  <c:v>35196.451565989999</c:v>
                </c:pt>
                <c:pt idx="79">
                  <c:v>35196.451565989999</c:v>
                </c:pt>
                <c:pt idx="80">
                  <c:v>44518.957483079997</c:v>
                </c:pt>
                <c:pt idx="81">
                  <c:v>44518.957483079997</c:v>
                </c:pt>
                <c:pt idx="82">
                  <c:v>44518.957483079997</c:v>
                </c:pt>
                <c:pt idx="83">
                  <c:v>44518.957483079997</c:v>
                </c:pt>
                <c:pt idx="84">
                  <c:v>44518.957483079997</c:v>
                </c:pt>
                <c:pt idx="85">
                  <c:v>44518.957483079997</c:v>
                </c:pt>
                <c:pt idx="86">
                  <c:v>44518.957483079997</c:v>
                </c:pt>
                <c:pt idx="87">
                  <c:v>41144.11035055</c:v>
                </c:pt>
                <c:pt idx="88">
                  <c:v>41144.11035055</c:v>
                </c:pt>
                <c:pt idx="89">
                  <c:v>41144.11035055</c:v>
                </c:pt>
                <c:pt idx="90">
                  <c:v>41144.11035055</c:v>
                </c:pt>
                <c:pt idx="91">
                  <c:v>41144.11035055</c:v>
                </c:pt>
                <c:pt idx="92">
                  <c:v>41144.11035055</c:v>
                </c:pt>
                <c:pt idx="93">
                  <c:v>38776.975007530003</c:v>
                </c:pt>
                <c:pt idx="94">
                  <c:v>38776.975007530003</c:v>
                </c:pt>
                <c:pt idx="95">
                  <c:v>38776.975007530003</c:v>
                </c:pt>
                <c:pt idx="96">
                  <c:v>38776.975007530003</c:v>
                </c:pt>
                <c:pt idx="97">
                  <c:v>38776.975007530003</c:v>
                </c:pt>
                <c:pt idx="98">
                  <c:v>38776.975007530003</c:v>
                </c:pt>
              </c:numCache>
            </c:numRef>
          </c:val>
        </c:ser>
        <c:marker val="1"/>
        <c:axId val="47142016"/>
        <c:axId val="47143552"/>
      </c:lineChart>
      <c:catAx>
        <c:axId val="47142016"/>
        <c:scaling>
          <c:orientation val="minMax"/>
        </c:scaling>
        <c:axPos val="b"/>
        <c:majorTickMark val="none"/>
        <c:tickLblPos val="nextTo"/>
        <c:crossAx val="47143552"/>
        <c:crosses val="autoZero"/>
        <c:auto val="1"/>
        <c:lblAlgn val="ctr"/>
        <c:lblOffset val="100"/>
      </c:catAx>
      <c:valAx>
        <c:axId val="47143552"/>
        <c:scaling>
          <c:orientation val="minMax"/>
        </c:scaling>
        <c:axPos val="l"/>
        <c:majorGridlines/>
        <c:title/>
        <c:numFmt formatCode="General" sourceLinked="1"/>
        <c:majorTickMark val="none"/>
        <c:tickLblPos val="nextTo"/>
        <c:crossAx val="47142016"/>
        <c:crosses val="autoZero"/>
        <c:crossBetween val="between"/>
      </c:valAx>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Webb</a:t>
            </a:r>
          </a:p>
        </c:rich>
      </c:tx>
    </c:title>
    <c:plotArea>
      <c:layout/>
      <c:lineChart>
        <c:grouping val="standard"/>
        <c:ser>
          <c:idx val="0"/>
          <c:order val="0"/>
          <c:tx>
            <c:strRef>
              <c:f>percentiles_mse!$M$2</c:f>
              <c:strCache>
                <c:ptCount val="1"/>
                <c:pt idx="0">
                  <c:v>MSE Market Value</c:v>
                </c:pt>
              </c:strCache>
            </c:strRef>
          </c:tx>
          <c:marker>
            <c:symbol val="none"/>
          </c:marker>
          <c:val>
            <c:numRef>
              <c:f>percentiles_mse!$M$3:$M$101</c:f>
              <c:numCache>
                <c:formatCode>General</c:formatCode>
                <c:ptCount val="99"/>
                <c:pt idx="0">
                  <c:v>870345785.51999998</c:v>
                </c:pt>
                <c:pt idx="1">
                  <c:v>870345785.51999998</c:v>
                </c:pt>
                <c:pt idx="2">
                  <c:v>870345785.51999998</c:v>
                </c:pt>
                <c:pt idx="3">
                  <c:v>870345785.51999998</c:v>
                </c:pt>
                <c:pt idx="4">
                  <c:v>870345785.51999998</c:v>
                </c:pt>
                <c:pt idx="5">
                  <c:v>870345785.51999998</c:v>
                </c:pt>
                <c:pt idx="6">
                  <c:v>870345785.51999998</c:v>
                </c:pt>
                <c:pt idx="7">
                  <c:v>870345785.51999998</c:v>
                </c:pt>
                <c:pt idx="8">
                  <c:v>870345785.51999998</c:v>
                </c:pt>
                <c:pt idx="9">
                  <c:v>870345785.51999998</c:v>
                </c:pt>
                <c:pt idx="10">
                  <c:v>870345785.51999998</c:v>
                </c:pt>
                <c:pt idx="11">
                  <c:v>870345785.51999998</c:v>
                </c:pt>
                <c:pt idx="12">
                  <c:v>870345785.51999998</c:v>
                </c:pt>
                <c:pt idx="13">
                  <c:v>870345785.51999998</c:v>
                </c:pt>
                <c:pt idx="14">
                  <c:v>870345785.51999998</c:v>
                </c:pt>
                <c:pt idx="15">
                  <c:v>870345785.51999998</c:v>
                </c:pt>
                <c:pt idx="16">
                  <c:v>870345785.51999998</c:v>
                </c:pt>
                <c:pt idx="17">
                  <c:v>870345785.51999998</c:v>
                </c:pt>
                <c:pt idx="18">
                  <c:v>870345785.51999998</c:v>
                </c:pt>
                <c:pt idx="19">
                  <c:v>870345785.51999998</c:v>
                </c:pt>
                <c:pt idx="20">
                  <c:v>870345785.51999998</c:v>
                </c:pt>
                <c:pt idx="21">
                  <c:v>870345785.51999998</c:v>
                </c:pt>
                <c:pt idx="22">
                  <c:v>870345785.51999998</c:v>
                </c:pt>
                <c:pt idx="23">
                  <c:v>870345785.51999998</c:v>
                </c:pt>
                <c:pt idx="24">
                  <c:v>870345785.51999998</c:v>
                </c:pt>
                <c:pt idx="25">
                  <c:v>870345785.51999998</c:v>
                </c:pt>
                <c:pt idx="26">
                  <c:v>870345785.51999998</c:v>
                </c:pt>
                <c:pt idx="27">
                  <c:v>870345785.51999998</c:v>
                </c:pt>
                <c:pt idx="28">
                  <c:v>870345785.51999998</c:v>
                </c:pt>
                <c:pt idx="29">
                  <c:v>870345785.51999998</c:v>
                </c:pt>
                <c:pt idx="30">
                  <c:v>870345785.51999998</c:v>
                </c:pt>
                <c:pt idx="31">
                  <c:v>870345785.51999998</c:v>
                </c:pt>
                <c:pt idx="32">
                  <c:v>870345785.51999998</c:v>
                </c:pt>
                <c:pt idx="33">
                  <c:v>870345785.51999998</c:v>
                </c:pt>
                <c:pt idx="34">
                  <c:v>870345785.51999998</c:v>
                </c:pt>
                <c:pt idx="35">
                  <c:v>870345785.51999998</c:v>
                </c:pt>
                <c:pt idx="36">
                  <c:v>870345785.51999998</c:v>
                </c:pt>
                <c:pt idx="37">
                  <c:v>870345785.51999998</c:v>
                </c:pt>
                <c:pt idx="38">
                  <c:v>870345785.51999998</c:v>
                </c:pt>
                <c:pt idx="39">
                  <c:v>870345785.51999998</c:v>
                </c:pt>
                <c:pt idx="40">
                  <c:v>870345785.51999998</c:v>
                </c:pt>
                <c:pt idx="41">
                  <c:v>870345785.51999998</c:v>
                </c:pt>
                <c:pt idx="42">
                  <c:v>870345785.51999998</c:v>
                </c:pt>
                <c:pt idx="43">
                  <c:v>870345785.51999998</c:v>
                </c:pt>
                <c:pt idx="44">
                  <c:v>870345785.51999998</c:v>
                </c:pt>
                <c:pt idx="45">
                  <c:v>870345785.51999998</c:v>
                </c:pt>
                <c:pt idx="46">
                  <c:v>870345785.51999998</c:v>
                </c:pt>
                <c:pt idx="47">
                  <c:v>899566405.35640001</c:v>
                </c:pt>
                <c:pt idx="48">
                  <c:v>905659028.2802</c:v>
                </c:pt>
                <c:pt idx="49">
                  <c:v>905659028.2802</c:v>
                </c:pt>
                <c:pt idx="50">
                  <c:v>905659028.2802</c:v>
                </c:pt>
                <c:pt idx="51">
                  <c:v>905659028.2802</c:v>
                </c:pt>
                <c:pt idx="52">
                  <c:v>905659028.2802</c:v>
                </c:pt>
                <c:pt idx="53">
                  <c:v>905659028.2802</c:v>
                </c:pt>
                <c:pt idx="54">
                  <c:v>905659028.2802</c:v>
                </c:pt>
                <c:pt idx="55">
                  <c:v>905659028.2802</c:v>
                </c:pt>
                <c:pt idx="56">
                  <c:v>905659028.2802</c:v>
                </c:pt>
                <c:pt idx="57">
                  <c:v>908917687.06289995</c:v>
                </c:pt>
                <c:pt idx="58">
                  <c:v>908917687.06289995</c:v>
                </c:pt>
                <c:pt idx="59">
                  <c:v>908917687.06289995</c:v>
                </c:pt>
                <c:pt idx="60">
                  <c:v>908917687.06289995</c:v>
                </c:pt>
                <c:pt idx="61">
                  <c:v>908917687.06289995</c:v>
                </c:pt>
                <c:pt idx="62">
                  <c:v>908917687.06289995</c:v>
                </c:pt>
                <c:pt idx="63">
                  <c:v>908917687.06289995</c:v>
                </c:pt>
                <c:pt idx="64">
                  <c:v>908917687.06289995</c:v>
                </c:pt>
                <c:pt idx="65">
                  <c:v>908917687.06289995</c:v>
                </c:pt>
                <c:pt idx="66">
                  <c:v>908917687.06289995</c:v>
                </c:pt>
                <c:pt idx="67">
                  <c:v>918285254.15069997</c:v>
                </c:pt>
                <c:pt idx="68">
                  <c:v>918285254.15069997</c:v>
                </c:pt>
                <c:pt idx="69">
                  <c:v>918285254.15069997</c:v>
                </c:pt>
                <c:pt idx="70">
                  <c:v>918285254.15069997</c:v>
                </c:pt>
                <c:pt idx="71">
                  <c:v>918285254.15069997</c:v>
                </c:pt>
                <c:pt idx="72">
                  <c:v>918285254.15069997</c:v>
                </c:pt>
                <c:pt idx="73">
                  <c:v>918285254.15069997</c:v>
                </c:pt>
                <c:pt idx="74">
                  <c:v>915119647.26520002</c:v>
                </c:pt>
                <c:pt idx="75">
                  <c:v>915119647.26520002</c:v>
                </c:pt>
                <c:pt idx="76">
                  <c:v>915119647.26520002</c:v>
                </c:pt>
                <c:pt idx="77">
                  <c:v>915119647.26520002</c:v>
                </c:pt>
                <c:pt idx="78">
                  <c:v>915119647.26520002</c:v>
                </c:pt>
                <c:pt idx="79">
                  <c:v>915119647.26520002</c:v>
                </c:pt>
                <c:pt idx="80">
                  <c:v>915119647.26520002</c:v>
                </c:pt>
                <c:pt idx="81">
                  <c:v>897436784.12779999</c:v>
                </c:pt>
                <c:pt idx="82">
                  <c:v>896326941.85049999</c:v>
                </c:pt>
                <c:pt idx="83">
                  <c:v>896326941.85049999</c:v>
                </c:pt>
                <c:pt idx="84">
                  <c:v>896326941.85049999</c:v>
                </c:pt>
                <c:pt idx="85">
                  <c:v>896326941.85049999</c:v>
                </c:pt>
                <c:pt idx="86">
                  <c:v>896326941.85049999</c:v>
                </c:pt>
                <c:pt idx="87">
                  <c:v>896326941.85049999</c:v>
                </c:pt>
                <c:pt idx="88">
                  <c:v>896326941.85049999</c:v>
                </c:pt>
                <c:pt idx="89">
                  <c:v>896326941.85049999</c:v>
                </c:pt>
                <c:pt idx="90">
                  <c:v>895070602.86150002</c:v>
                </c:pt>
                <c:pt idx="91">
                  <c:v>895070602.86150002</c:v>
                </c:pt>
                <c:pt idx="92">
                  <c:v>895070602.86150002</c:v>
                </c:pt>
                <c:pt idx="93">
                  <c:v>895070602.86150002</c:v>
                </c:pt>
                <c:pt idx="94">
                  <c:v>895070602.86150002</c:v>
                </c:pt>
                <c:pt idx="95">
                  <c:v>895070602.86150002</c:v>
                </c:pt>
                <c:pt idx="96">
                  <c:v>895070602.86150002</c:v>
                </c:pt>
                <c:pt idx="97">
                  <c:v>895070602.86150002</c:v>
                </c:pt>
                <c:pt idx="98">
                  <c:v>895070602.86150002</c:v>
                </c:pt>
              </c:numCache>
            </c:numRef>
          </c:val>
        </c:ser>
        <c:marker val="1"/>
        <c:axId val="96107136"/>
        <c:axId val="96121216"/>
      </c:lineChart>
      <c:catAx>
        <c:axId val="96107136"/>
        <c:scaling>
          <c:orientation val="minMax"/>
        </c:scaling>
        <c:axPos val="b"/>
        <c:majorTickMark val="none"/>
        <c:tickLblPos val="nextTo"/>
        <c:crossAx val="96121216"/>
        <c:crosses val="autoZero"/>
        <c:auto val="1"/>
        <c:lblAlgn val="ctr"/>
        <c:lblOffset val="100"/>
      </c:catAx>
      <c:valAx>
        <c:axId val="96121216"/>
        <c:scaling>
          <c:orientation val="minMax"/>
        </c:scaling>
        <c:axPos val="l"/>
        <c:majorGridlines/>
        <c:title/>
        <c:numFmt formatCode="General" sourceLinked="1"/>
        <c:majorTickMark val="none"/>
        <c:tickLblPos val="nextTo"/>
        <c:crossAx val="96107136"/>
        <c:crosses val="autoZero"/>
        <c:crossBetween val="between"/>
      </c:valAx>
    </c:plotArea>
    <c:legend>
      <c:legendPos val="r"/>
    </c:legend>
    <c:plotVisOnly val="1"/>
  </c:chart>
  <c:printSettings>
    <c:headerFooter/>
    <c:pageMargins b="0.75000000000000078" l="0.70000000000000062" r="0.70000000000000062" t="0.750000000000000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Hidalgo</a:t>
            </a:r>
          </a:p>
        </c:rich>
      </c:tx>
    </c:title>
    <c:plotArea>
      <c:layout/>
      <c:lineChart>
        <c:grouping val="standard"/>
        <c:ser>
          <c:idx val="0"/>
          <c:order val="0"/>
          <c:tx>
            <c:strRef>
              <c:f>percentiles_mse!$P$2</c:f>
              <c:strCache>
                <c:ptCount val="1"/>
                <c:pt idx="0">
                  <c:v>MSE Market Value</c:v>
                </c:pt>
              </c:strCache>
            </c:strRef>
          </c:tx>
          <c:marker>
            <c:symbol val="none"/>
          </c:marker>
          <c:val>
            <c:numRef>
              <c:f>percentiles_mse!$P$3:$P$101</c:f>
              <c:numCache>
                <c:formatCode>General</c:formatCode>
                <c:ptCount val="99"/>
                <c:pt idx="0">
                  <c:v>351086715.21740001</c:v>
                </c:pt>
                <c:pt idx="1">
                  <c:v>351086715.21740001</c:v>
                </c:pt>
                <c:pt idx="2">
                  <c:v>351086715.21740001</c:v>
                </c:pt>
                <c:pt idx="3">
                  <c:v>351086715.21740001</c:v>
                </c:pt>
                <c:pt idx="4">
                  <c:v>351086715.21740001</c:v>
                </c:pt>
                <c:pt idx="5">
                  <c:v>351086715.21740001</c:v>
                </c:pt>
                <c:pt idx="6">
                  <c:v>351086715.21740001</c:v>
                </c:pt>
                <c:pt idx="7">
                  <c:v>351086715.21740001</c:v>
                </c:pt>
                <c:pt idx="8">
                  <c:v>351086715.21740001</c:v>
                </c:pt>
                <c:pt idx="9">
                  <c:v>351086715.21740001</c:v>
                </c:pt>
                <c:pt idx="10">
                  <c:v>351086715.21740001</c:v>
                </c:pt>
                <c:pt idx="11">
                  <c:v>351086715.21740001</c:v>
                </c:pt>
                <c:pt idx="12">
                  <c:v>351086715.21740001</c:v>
                </c:pt>
                <c:pt idx="13">
                  <c:v>351086715.21740001</c:v>
                </c:pt>
                <c:pt idx="14">
                  <c:v>351086715.21740001</c:v>
                </c:pt>
                <c:pt idx="15">
                  <c:v>351086715.21740001</c:v>
                </c:pt>
                <c:pt idx="16">
                  <c:v>351086715.21740001</c:v>
                </c:pt>
                <c:pt idx="17">
                  <c:v>351086715.21740001</c:v>
                </c:pt>
                <c:pt idx="18">
                  <c:v>351086715.21740001</c:v>
                </c:pt>
                <c:pt idx="19">
                  <c:v>351086715.21740001</c:v>
                </c:pt>
                <c:pt idx="20">
                  <c:v>351086715.21740001</c:v>
                </c:pt>
                <c:pt idx="21">
                  <c:v>351086715.21740001</c:v>
                </c:pt>
                <c:pt idx="22">
                  <c:v>351086715.21740001</c:v>
                </c:pt>
                <c:pt idx="23">
                  <c:v>351086715.21740001</c:v>
                </c:pt>
                <c:pt idx="24">
                  <c:v>351086715.21740001</c:v>
                </c:pt>
                <c:pt idx="25">
                  <c:v>351086715.21740001</c:v>
                </c:pt>
                <c:pt idx="26">
                  <c:v>351086715.21740001</c:v>
                </c:pt>
                <c:pt idx="27">
                  <c:v>351086715.21740001</c:v>
                </c:pt>
                <c:pt idx="28">
                  <c:v>351086715.21740001</c:v>
                </c:pt>
                <c:pt idx="29">
                  <c:v>351086715.21740001</c:v>
                </c:pt>
                <c:pt idx="30">
                  <c:v>351086715.21740001</c:v>
                </c:pt>
                <c:pt idx="31">
                  <c:v>351086715.21740001</c:v>
                </c:pt>
                <c:pt idx="32">
                  <c:v>351086715.21740001</c:v>
                </c:pt>
                <c:pt idx="33">
                  <c:v>351086715.21740001</c:v>
                </c:pt>
                <c:pt idx="34">
                  <c:v>351086715.21740001</c:v>
                </c:pt>
                <c:pt idx="35">
                  <c:v>351086715.21740001</c:v>
                </c:pt>
                <c:pt idx="36">
                  <c:v>351086715.21740001</c:v>
                </c:pt>
                <c:pt idx="37">
                  <c:v>351086715.21740001</c:v>
                </c:pt>
                <c:pt idx="38">
                  <c:v>351086715.21740001</c:v>
                </c:pt>
                <c:pt idx="39">
                  <c:v>351086715.21740001</c:v>
                </c:pt>
                <c:pt idx="40">
                  <c:v>351086715.21740001</c:v>
                </c:pt>
                <c:pt idx="41">
                  <c:v>351086715.21740001</c:v>
                </c:pt>
                <c:pt idx="42">
                  <c:v>351086715.21740001</c:v>
                </c:pt>
                <c:pt idx="43">
                  <c:v>351086715.21740001</c:v>
                </c:pt>
                <c:pt idx="44">
                  <c:v>351086715.21740001</c:v>
                </c:pt>
                <c:pt idx="45">
                  <c:v>351086715.21740001</c:v>
                </c:pt>
                <c:pt idx="46">
                  <c:v>351086715.21740001</c:v>
                </c:pt>
                <c:pt idx="47">
                  <c:v>351086715.21740001</c:v>
                </c:pt>
                <c:pt idx="48">
                  <c:v>351086715.21740001</c:v>
                </c:pt>
                <c:pt idx="49">
                  <c:v>351086715.21740001</c:v>
                </c:pt>
                <c:pt idx="50">
                  <c:v>351086715.21740001</c:v>
                </c:pt>
                <c:pt idx="51">
                  <c:v>351086715.21740001</c:v>
                </c:pt>
                <c:pt idx="52">
                  <c:v>351086715.21740001</c:v>
                </c:pt>
                <c:pt idx="53">
                  <c:v>351086715.21740001</c:v>
                </c:pt>
                <c:pt idx="54">
                  <c:v>351086715.21740001</c:v>
                </c:pt>
                <c:pt idx="55">
                  <c:v>351086715.21740001</c:v>
                </c:pt>
                <c:pt idx="56">
                  <c:v>361557220.44419998</c:v>
                </c:pt>
                <c:pt idx="57">
                  <c:v>361557220.44419998</c:v>
                </c:pt>
                <c:pt idx="58">
                  <c:v>361557220.44419998</c:v>
                </c:pt>
                <c:pt idx="59">
                  <c:v>361557220.44419998</c:v>
                </c:pt>
                <c:pt idx="60">
                  <c:v>361557220.44419998</c:v>
                </c:pt>
                <c:pt idx="61">
                  <c:v>361557220.44419998</c:v>
                </c:pt>
                <c:pt idx="62">
                  <c:v>361557220.44419998</c:v>
                </c:pt>
                <c:pt idx="63">
                  <c:v>361557220.44419998</c:v>
                </c:pt>
                <c:pt idx="64">
                  <c:v>361557220.44419998</c:v>
                </c:pt>
                <c:pt idx="65">
                  <c:v>361557220.44419998</c:v>
                </c:pt>
                <c:pt idx="66">
                  <c:v>361557220.44419998</c:v>
                </c:pt>
                <c:pt idx="67">
                  <c:v>361557220.44419998</c:v>
                </c:pt>
                <c:pt idx="68">
                  <c:v>361557220.44419998</c:v>
                </c:pt>
                <c:pt idx="69">
                  <c:v>361557220.44419998</c:v>
                </c:pt>
                <c:pt idx="70">
                  <c:v>361557220.44419998</c:v>
                </c:pt>
                <c:pt idx="71">
                  <c:v>361557220.44419998</c:v>
                </c:pt>
                <c:pt idx="72">
                  <c:v>361557220.44419998</c:v>
                </c:pt>
                <c:pt idx="73">
                  <c:v>361557220.44419998</c:v>
                </c:pt>
                <c:pt idx="74">
                  <c:v>361557220.44419998</c:v>
                </c:pt>
                <c:pt idx="75">
                  <c:v>361557220.44419998</c:v>
                </c:pt>
                <c:pt idx="76">
                  <c:v>361557220.44419998</c:v>
                </c:pt>
                <c:pt idx="77">
                  <c:v>361557220.44419998</c:v>
                </c:pt>
                <c:pt idx="78">
                  <c:v>361557220.44419998</c:v>
                </c:pt>
                <c:pt idx="79">
                  <c:v>369157762.78619999</c:v>
                </c:pt>
                <c:pt idx="80">
                  <c:v>369157762.78619999</c:v>
                </c:pt>
                <c:pt idx="81">
                  <c:v>369157762.78619999</c:v>
                </c:pt>
                <c:pt idx="82">
                  <c:v>369157762.78619999</c:v>
                </c:pt>
                <c:pt idx="83">
                  <c:v>369157762.78619999</c:v>
                </c:pt>
                <c:pt idx="84">
                  <c:v>369157762.78619999</c:v>
                </c:pt>
                <c:pt idx="85">
                  <c:v>369157762.78619999</c:v>
                </c:pt>
                <c:pt idx="86">
                  <c:v>390742361.38370001</c:v>
                </c:pt>
                <c:pt idx="87">
                  <c:v>390742361.38370001</c:v>
                </c:pt>
                <c:pt idx="88">
                  <c:v>390742361.38370001</c:v>
                </c:pt>
                <c:pt idx="89">
                  <c:v>390742361.38370001</c:v>
                </c:pt>
                <c:pt idx="90">
                  <c:v>390742361.38370001</c:v>
                </c:pt>
                <c:pt idx="91">
                  <c:v>390742361.38370001</c:v>
                </c:pt>
                <c:pt idx="92">
                  <c:v>490199218.3319</c:v>
                </c:pt>
                <c:pt idx="93">
                  <c:v>490199218.3319</c:v>
                </c:pt>
                <c:pt idx="94">
                  <c:v>490199218.3319</c:v>
                </c:pt>
                <c:pt idx="95">
                  <c:v>495632762.48949999</c:v>
                </c:pt>
                <c:pt idx="96">
                  <c:v>510460715.35089999</c:v>
                </c:pt>
                <c:pt idx="97">
                  <c:v>510460715.35089999</c:v>
                </c:pt>
                <c:pt idx="98">
                  <c:v>510460715.35089999</c:v>
                </c:pt>
              </c:numCache>
            </c:numRef>
          </c:val>
        </c:ser>
        <c:marker val="1"/>
        <c:axId val="96289152"/>
        <c:axId val="96290688"/>
      </c:lineChart>
      <c:catAx>
        <c:axId val="96289152"/>
        <c:scaling>
          <c:orientation val="minMax"/>
        </c:scaling>
        <c:axPos val="b"/>
        <c:majorTickMark val="none"/>
        <c:tickLblPos val="nextTo"/>
        <c:crossAx val="96290688"/>
        <c:crosses val="autoZero"/>
        <c:auto val="1"/>
        <c:lblAlgn val="ctr"/>
        <c:lblOffset val="100"/>
      </c:catAx>
      <c:valAx>
        <c:axId val="96290688"/>
        <c:scaling>
          <c:orientation val="minMax"/>
        </c:scaling>
        <c:axPos val="l"/>
        <c:majorGridlines/>
        <c:title/>
        <c:numFmt formatCode="General" sourceLinked="1"/>
        <c:majorTickMark val="none"/>
        <c:tickLblPos val="nextTo"/>
        <c:crossAx val="96289152"/>
        <c:crosses val="autoZero"/>
        <c:crossBetween val="between"/>
      </c:valAx>
    </c:plotArea>
    <c:legend>
      <c:legendPos val="r"/>
    </c:legend>
    <c:plotVisOnly val="1"/>
  </c:chart>
  <c:printSettings>
    <c:headerFooter/>
    <c:pageMargins b="0.75000000000000078" l="0.70000000000000062" r="0.70000000000000062" t="0.750000000000000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Cameron</a:t>
            </a:r>
          </a:p>
        </c:rich>
      </c:tx>
    </c:title>
    <c:plotArea>
      <c:layout/>
      <c:lineChart>
        <c:grouping val="standard"/>
        <c:ser>
          <c:idx val="0"/>
          <c:order val="0"/>
          <c:tx>
            <c:strRef>
              <c:f>percentiles_mse!$S$2</c:f>
              <c:strCache>
                <c:ptCount val="1"/>
                <c:pt idx="0">
                  <c:v>MSE Market Value</c:v>
                </c:pt>
              </c:strCache>
            </c:strRef>
          </c:tx>
          <c:marker>
            <c:symbol val="none"/>
          </c:marker>
          <c:val>
            <c:numRef>
              <c:f>percentiles_mse!$S$3:$S$101</c:f>
              <c:numCache>
                <c:formatCode>General</c:formatCode>
                <c:ptCount val="99"/>
                <c:pt idx="0">
                  <c:v>803962944.00320005</c:v>
                </c:pt>
                <c:pt idx="1">
                  <c:v>803962944.00320005</c:v>
                </c:pt>
                <c:pt idx="2">
                  <c:v>803962944.00320005</c:v>
                </c:pt>
                <c:pt idx="3">
                  <c:v>803962944.00320005</c:v>
                </c:pt>
                <c:pt idx="4">
                  <c:v>803962944.00320005</c:v>
                </c:pt>
                <c:pt idx="5">
                  <c:v>803962944.00320005</c:v>
                </c:pt>
                <c:pt idx="6">
                  <c:v>803962944.00320005</c:v>
                </c:pt>
                <c:pt idx="7">
                  <c:v>803962944.00320005</c:v>
                </c:pt>
                <c:pt idx="8">
                  <c:v>803962944.00320005</c:v>
                </c:pt>
                <c:pt idx="9">
                  <c:v>803962944.00320005</c:v>
                </c:pt>
                <c:pt idx="10">
                  <c:v>803962944.00320005</c:v>
                </c:pt>
                <c:pt idx="11">
                  <c:v>803962944.00320005</c:v>
                </c:pt>
                <c:pt idx="12">
                  <c:v>803962944.00320005</c:v>
                </c:pt>
                <c:pt idx="13">
                  <c:v>803962944.00320005</c:v>
                </c:pt>
                <c:pt idx="14">
                  <c:v>803962944.00320005</c:v>
                </c:pt>
                <c:pt idx="15">
                  <c:v>803962944.00320005</c:v>
                </c:pt>
                <c:pt idx="16">
                  <c:v>803962944.00320005</c:v>
                </c:pt>
                <c:pt idx="17">
                  <c:v>803962944.00320005</c:v>
                </c:pt>
                <c:pt idx="18">
                  <c:v>803962944.00320005</c:v>
                </c:pt>
                <c:pt idx="19">
                  <c:v>803962944.00320005</c:v>
                </c:pt>
                <c:pt idx="20">
                  <c:v>803962944.00320005</c:v>
                </c:pt>
                <c:pt idx="21">
                  <c:v>803962944.00320005</c:v>
                </c:pt>
                <c:pt idx="22">
                  <c:v>803962944.00320005</c:v>
                </c:pt>
                <c:pt idx="23">
                  <c:v>803962944.00320005</c:v>
                </c:pt>
                <c:pt idx="24">
                  <c:v>803962944.00320005</c:v>
                </c:pt>
                <c:pt idx="25">
                  <c:v>803962944.00320005</c:v>
                </c:pt>
                <c:pt idx="26">
                  <c:v>803962944.00320005</c:v>
                </c:pt>
                <c:pt idx="27">
                  <c:v>803962944.00320005</c:v>
                </c:pt>
                <c:pt idx="28">
                  <c:v>803962944.00320005</c:v>
                </c:pt>
                <c:pt idx="29">
                  <c:v>803962944.00320005</c:v>
                </c:pt>
                <c:pt idx="30">
                  <c:v>803962944.00320005</c:v>
                </c:pt>
                <c:pt idx="31">
                  <c:v>803962944.00320005</c:v>
                </c:pt>
                <c:pt idx="32">
                  <c:v>803962944.00320005</c:v>
                </c:pt>
                <c:pt idx="33">
                  <c:v>803962944.00320005</c:v>
                </c:pt>
                <c:pt idx="34">
                  <c:v>803962944.00320005</c:v>
                </c:pt>
                <c:pt idx="35">
                  <c:v>803962944.00320005</c:v>
                </c:pt>
                <c:pt idx="36">
                  <c:v>803962944.00320005</c:v>
                </c:pt>
                <c:pt idx="37">
                  <c:v>803962944.00320005</c:v>
                </c:pt>
                <c:pt idx="38">
                  <c:v>803962944.00320005</c:v>
                </c:pt>
                <c:pt idx="39">
                  <c:v>803962944.00320005</c:v>
                </c:pt>
                <c:pt idx="40">
                  <c:v>803962944.00320005</c:v>
                </c:pt>
                <c:pt idx="41">
                  <c:v>803962944.00320005</c:v>
                </c:pt>
                <c:pt idx="42">
                  <c:v>789983081.59140003</c:v>
                </c:pt>
                <c:pt idx="43">
                  <c:v>600283376.81200004</c:v>
                </c:pt>
                <c:pt idx="44">
                  <c:v>600283376.81200004</c:v>
                </c:pt>
                <c:pt idx="45">
                  <c:v>600283376.81200004</c:v>
                </c:pt>
                <c:pt idx="46">
                  <c:v>600283376.81200004</c:v>
                </c:pt>
                <c:pt idx="47">
                  <c:v>600283376.81200004</c:v>
                </c:pt>
                <c:pt idx="48">
                  <c:v>600283376.81200004</c:v>
                </c:pt>
                <c:pt idx="49">
                  <c:v>600283376.81200004</c:v>
                </c:pt>
                <c:pt idx="50">
                  <c:v>600283376.81200004</c:v>
                </c:pt>
                <c:pt idx="51">
                  <c:v>600283376.81200004</c:v>
                </c:pt>
                <c:pt idx="52">
                  <c:v>600283376.81200004</c:v>
                </c:pt>
                <c:pt idx="53">
                  <c:v>600283376.81200004</c:v>
                </c:pt>
                <c:pt idx="54">
                  <c:v>600283376.81200004</c:v>
                </c:pt>
                <c:pt idx="55">
                  <c:v>600283376.81200004</c:v>
                </c:pt>
                <c:pt idx="56">
                  <c:v>600283376.81200004</c:v>
                </c:pt>
                <c:pt idx="57">
                  <c:v>600283376.81200004</c:v>
                </c:pt>
                <c:pt idx="58">
                  <c:v>600283376.81200004</c:v>
                </c:pt>
                <c:pt idx="59">
                  <c:v>600283376.81200004</c:v>
                </c:pt>
                <c:pt idx="60">
                  <c:v>597064838.03770006</c:v>
                </c:pt>
                <c:pt idx="61">
                  <c:v>597064838.03770006</c:v>
                </c:pt>
                <c:pt idx="62">
                  <c:v>597064838.03770006</c:v>
                </c:pt>
                <c:pt idx="63">
                  <c:v>597064838.03770006</c:v>
                </c:pt>
                <c:pt idx="64">
                  <c:v>597064838.03770006</c:v>
                </c:pt>
                <c:pt idx="65">
                  <c:v>597064838.03770006</c:v>
                </c:pt>
                <c:pt idx="66">
                  <c:v>597064838.03770006</c:v>
                </c:pt>
                <c:pt idx="67">
                  <c:v>597064838.03770006</c:v>
                </c:pt>
                <c:pt idx="68">
                  <c:v>597064838.03770006</c:v>
                </c:pt>
                <c:pt idx="69">
                  <c:v>597064838.03770006</c:v>
                </c:pt>
                <c:pt idx="70">
                  <c:v>597064838.03770006</c:v>
                </c:pt>
                <c:pt idx="71">
                  <c:v>597064838.03770006</c:v>
                </c:pt>
                <c:pt idx="72">
                  <c:v>597064838.03770006</c:v>
                </c:pt>
                <c:pt idx="73">
                  <c:v>597064838.03770006</c:v>
                </c:pt>
                <c:pt idx="74">
                  <c:v>597064838.03770006</c:v>
                </c:pt>
                <c:pt idx="75">
                  <c:v>597064838.03770006</c:v>
                </c:pt>
                <c:pt idx="76">
                  <c:v>597064838.03770006</c:v>
                </c:pt>
                <c:pt idx="77">
                  <c:v>597064838.03770006</c:v>
                </c:pt>
                <c:pt idx="78">
                  <c:v>597064838.03770006</c:v>
                </c:pt>
                <c:pt idx="79">
                  <c:v>597064838.03770006</c:v>
                </c:pt>
                <c:pt idx="80">
                  <c:v>597064838.03770006</c:v>
                </c:pt>
                <c:pt idx="81">
                  <c:v>597064838.03770006</c:v>
                </c:pt>
                <c:pt idx="82">
                  <c:v>599575967.82210004</c:v>
                </c:pt>
                <c:pt idx="83">
                  <c:v>599575967.82210004</c:v>
                </c:pt>
                <c:pt idx="84">
                  <c:v>599575967.82210004</c:v>
                </c:pt>
                <c:pt idx="85">
                  <c:v>599575967.82210004</c:v>
                </c:pt>
                <c:pt idx="86">
                  <c:v>599575967.82210004</c:v>
                </c:pt>
                <c:pt idx="87">
                  <c:v>599575967.82210004</c:v>
                </c:pt>
                <c:pt idx="88">
                  <c:v>599575967.82210004</c:v>
                </c:pt>
                <c:pt idx="89">
                  <c:v>602136203.70159996</c:v>
                </c:pt>
                <c:pt idx="90">
                  <c:v>599770453.77149999</c:v>
                </c:pt>
                <c:pt idx="91">
                  <c:v>599770453.77149999</c:v>
                </c:pt>
                <c:pt idx="92">
                  <c:v>599770453.77149999</c:v>
                </c:pt>
                <c:pt idx="93">
                  <c:v>599770453.77149999</c:v>
                </c:pt>
                <c:pt idx="94">
                  <c:v>599770453.77149999</c:v>
                </c:pt>
                <c:pt idx="95">
                  <c:v>599770453.77149999</c:v>
                </c:pt>
                <c:pt idx="96">
                  <c:v>599770453.77149999</c:v>
                </c:pt>
                <c:pt idx="97">
                  <c:v>599770453.77149999</c:v>
                </c:pt>
                <c:pt idx="98">
                  <c:v>599770453.77149999</c:v>
                </c:pt>
              </c:numCache>
            </c:numRef>
          </c:val>
        </c:ser>
        <c:marker val="1"/>
        <c:axId val="96327552"/>
        <c:axId val="96329088"/>
      </c:lineChart>
      <c:catAx>
        <c:axId val="96327552"/>
        <c:scaling>
          <c:orientation val="minMax"/>
        </c:scaling>
        <c:axPos val="b"/>
        <c:majorTickMark val="none"/>
        <c:tickLblPos val="nextTo"/>
        <c:crossAx val="96329088"/>
        <c:crosses val="autoZero"/>
        <c:auto val="1"/>
        <c:lblAlgn val="ctr"/>
        <c:lblOffset val="100"/>
      </c:catAx>
      <c:valAx>
        <c:axId val="96329088"/>
        <c:scaling>
          <c:orientation val="minMax"/>
        </c:scaling>
        <c:axPos val="l"/>
        <c:majorGridlines/>
        <c:title/>
        <c:numFmt formatCode="General" sourceLinked="1"/>
        <c:majorTickMark val="none"/>
        <c:tickLblPos val="nextTo"/>
        <c:crossAx val="96327552"/>
        <c:crosses val="autoZero"/>
        <c:crossBetween val="between"/>
      </c:valAx>
    </c:plotArea>
    <c:legend>
      <c:legendPos val="r"/>
    </c:legend>
    <c:plotVisOnly val="1"/>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Starr</a:t>
            </a:r>
          </a:p>
        </c:rich>
      </c:tx>
    </c:title>
    <c:plotArea>
      <c:layout/>
      <c:lineChart>
        <c:grouping val="standard"/>
        <c:ser>
          <c:idx val="0"/>
          <c:order val="0"/>
          <c:tx>
            <c:strRef>
              <c:f>percentiles_mse!$F$2</c:f>
              <c:strCache>
                <c:ptCount val="1"/>
                <c:pt idx="0">
                  <c:v>MSE Year of Move</c:v>
                </c:pt>
              </c:strCache>
            </c:strRef>
          </c:tx>
          <c:marker>
            <c:symbol val="none"/>
          </c:marker>
          <c:val>
            <c:numRef>
              <c:f>percentiles_mse!$F$3:$F$101</c:f>
              <c:numCache>
                <c:formatCode>General</c:formatCode>
                <c:ptCount val="99"/>
                <c:pt idx="0">
                  <c:v>27688.969279569999</c:v>
                </c:pt>
                <c:pt idx="1">
                  <c:v>27688.969279569999</c:v>
                </c:pt>
                <c:pt idx="2">
                  <c:v>27688.969279569999</c:v>
                </c:pt>
                <c:pt idx="3">
                  <c:v>27688.969279569999</c:v>
                </c:pt>
                <c:pt idx="4">
                  <c:v>27688.969279569999</c:v>
                </c:pt>
                <c:pt idx="5">
                  <c:v>27688.969279569999</c:v>
                </c:pt>
                <c:pt idx="6">
                  <c:v>27688.969279569999</c:v>
                </c:pt>
                <c:pt idx="7">
                  <c:v>27688.969279569999</c:v>
                </c:pt>
                <c:pt idx="8">
                  <c:v>27688.969279569999</c:v>
                </c:pt>
                <c:pt idx="9">
                  <c:v>27688.969279569999</c:v>
                </c:pt>
                <c:pt idx="10">
                  <c:v>27688.969279569999</c:v>
                </c:pt>
                <c:pt idx="11">
                  <c:v>27688.969279569999</c:v>
                </c:pt>
                <c:pt idx="12">
                  <c:v>27688.969279569999</c:v>
                </c:pt>
                <c:pt idx="13">
                  <c:v>27688.969279569999</c:v>
                </c:pt>
                <c:pt idx="14">
                  <c:v>27688.969279569999</c:v>
                </c:pt>
                <c:pt idx="15">
                  <c:v>28896.505323360001</c:v>
                </c:pt>
                <c:pt idx="16">
                  <c:v>28896.505323360001</c:v>
                </c:pt>
                <c:pt idx="17">
                  <c:v>28896.505323360001</c:v>
                </c:pt>
                <c:pt idx="18">
                  <c:v>28896.505323360001</c:v>
                </c:pt>
                <c:pt idx="19">
                  <c:v>28896.505323360001</c:v>
                </c:pt>
                <c:pt idx="20">
                  <c:v>28896.505323360001</c:v>
                </c:pt>
                <c:pt idx="21">
                  <c:v>28896.505323360001</c:v>
                </c:pt>
                <c:pt idx="22">
                  <c:v>28896.505323360001</c:v>
                </c:pt>
                <c:pt idx="23">
                  <c:v>28896.505323360001</c:v>
                </c:pt>
                <c:pt idx="24">
                  <c:v>28896.505323360001</c:v>
                </c:pt>
                <c:pt idx="25">
                  <c:v>28896.505323360001</c:v>
                </c:pt>
                <c:pt idx="26">
                  <c:v>28896.505323360001</c:v>
                </c:pt>
                <c:pt idx="27">
                  <c:v>28896.505323360001</c:v>
                </c:pt>
                <c:pt idx="28">
                  <c:v>28896.505323360001</c:v>
                </c:pt>
                <c:pt idx="29">
                  <c:v>28896.505323360001</c:v>
                </c:pt>
                <c:pt idx="30">
                  <c:v>28896.505323360001</c:v>
                </c:pt>
                <c:pt idx="31">
                  <c:v>28896.505323360001</c:v>
                </c:pt>
                <c:pt idx="32">
                  <c:v>28896.505323360001</c:v>
                </c:pt>
                <c:pt idx="33">
                  <c:v>28896.505323360001</c:v>
                </c:pt>
                <c:pt idx="34">
                  <c:v>28896.505323360001</c:v>
                </c:pt>
                <c:pt idx="35">
                  <c:v>28896.505323360001</c:v>
                </c:pt>
                <c:pt idx="36">
                  <c:v>28896.505323360001</c:v>
                </c:pt>
                <c:pt idx="37">
                  <c:v>28896.505323360001</c:v>
                </c:pt>
                <c:pt idx="38">
                  <c:v>28896.505323360001</c:v>
                </c:pt>
                <c:pt idx="39">
                  <c:v>28896.505323360001</c:v>
                </c:pt>
                <c:pt idx="40">
                  <c:v>28896.505323360001</c:v>
                </c:pt>
                <c:pt idx="41">
                  <c:v>28896.505323360001</c:v>
                </c:pt>
                <c:pt idx="42">
                  <c:v>28896.505323360001</c:v>
                </c:pt>
                <c:pt idx="43">
                  <c:v>28441.478657790001</c:v>
                </c:pt>
                <c:pt idx="44">
                  <c:v>25619.28424397</c:v>
                </c:pt>
                <c:pt idx="45">
                  <c:v>25619.28424397</c:v>
                </c:pt>
                <c:pt idx="46">
                  <c:v>25619.28424397</c:v>
                </c:pt>
                <c:pt idx="47">
                  <c:v>25619.28424397</c:v>
                </c:pt>
                <c:pt idx="48">
                  <c:v>25619.28424397</c:v>
                </c:pt>
                <c:pt idx="49">
                  <c:v>25619.28424397</c:v>
                </c:pt>
                <c:pt idx="50">
                  <c:v>25619.28424397</c:v>
                </c:pt>
                <c:pt idx="51">
                  <c:v>25619.28424397</c:v>
                </c:pt>
                <c:pt idx="52">
                  <c:v>25619.28424397</c:v>
                </c:pt>
                <c:pt idx="53">
                  <c:v>25619.28424397</c:v>
                </c:pt>
                <c:pt idx="54">
                  <c:v>25619.28424397</c:v>
                </c:pt>
                <c:pt idx="55">
                  <c:v>25619.28424397</c:v>
                </c:pt>
                <c:pt idx="56">
                  <c:v>25619.28424397</c:v>
                </c:pt>
                <c:pt idx="57">
                  <c:v>25619.28424397</c:v>
                </c:pt>
                <c:pt idx="58">
                  <c:v>25619.28424397</c:v>
                </c:pt>
                <c:pt idx="59">
                  <c:v>25619.28424397</c:v>
                </c:pt>
                <c:pt idx="60">
                  <c:v>25619.28424397</c:v>
                </c:pt>
                <c:pt idx="61">
                  <c:v>25619.28424397</c:v>
                </c:pt>
                <c:pt idx="62">
                  <c:v>25619.28424397</c:v>
                </c:pt>
                <c:pt idx="63">
                  <c:v>20714.905722579999</c:v>
                </c:pt>
                <c:pt idx="64">
                  <c:v>20576.480003730001</c:v>
                </c:pt>
                <c:pt idx="65">
                  <c:v>20576.480003730001</c:v>
                </c:pt>
                <c:pt idx="66">
                  <c:v>20305.147104650001</c:v>
                </c:pt>
                <c:pt idx="67">
                  <c:v>20305.147104650001</c:v>
                </c:pt>
                <c:pt idx="68">
                  <c:v>20305.147104650001</c:v>
                </c:pt>
                <c:pt idx="69">
                  <c:v>20305.147104650001</c:v>
                </c:pt>
                <c:pt idx="70">
                  <c:v>20305.147104650001</c:v>
                </c:pt>
                <c:pt idx="71">
                  <c:v>20305.147104650001</c:v>
                </c:pt>
                <c:pt idx="72">
                  <c:v>20305.147104650001</c:v>
                </c:pt>
                <c:pt idx="73">
                  <c:v>20305.147104650001</c:v>
                </c:pt>
                <c:pt idx="74">
                  <c:v>20305.147104650001</c:v>
                </c:pt>
                <c:pt idx="75">
                  <c:v>20305.147104650001</c:v>
                </c:pt>
                <c:pt idx="76">
                  <c:v>20305.147104650001</c:v>
                </c:pt>
                <c:pt idx="77">
                  <c:v>20305.147104650001</c:v>
                </c:pt>
                <c:pt idx="78">
                  <c:v>20305.147104650001</c:v>
                </c:pt>
                <c:pt idx="79">
                  <c:v>20305.147104650001</c:v>
                </c:pt>
                <c:pt idx="80">
                  <c:v>20305.147104650001</c:v>
                </c:pt>
                <c:pt idx="81">
                  <c:v>18613.533579759998</c:v>
                </c:pt>
                <c:pt idx="82">
                  <c:v>18482.460657520001</c:v>
                </c:pt>
                <c:pt idx="83">
                  <c:v>18482.460657520001</c:v>
                </c:pt>
                <c:pt idx="84">
                  <c:v>18482.460657520001</c:v>
                </c:pt>
                <c:pt idx="85">
                  <c:v>18482.460657520001</c:v>
                </c:pt>
                <c:pt idx="86">
                  <c:v>90307.820875429999</c:v>
                </c:pt>
                <c:pt idx="87">
                  <c:v>17113.065286730001</c:v>
                </c:pt>
                <c:pt idx="88">
                  <c:v>17113.065286730001</c:v>
                </c:pt>
                <c:pt idx="89">
                  <c:v>17113.065286730001</c:v>
                </c:pt>
                <c:pt idx="90">
                  <c:v>17113.065286730001</c:v>
                </c:pt>
                <c:pt idx="91">
                  <c:v>16319.459166729999</c:v>
                </c:pt>
                <c:pt idx="92">
                  <c:v>16319.459166729999</c:v>
                </c:pt>
                <c:pt idx="93">
                  <c:v>16319.459166729999</c:v>
                </c:pt>
                <c:pt idx="94">
                  <c:v>16319.459166729999</c:v>
                </c:pt>
                <c:pt idx="95">
                  <c:v>16319.459166729999</c:v>
                </c:pt>
                <c:pt idx="96">
                  <c:v>15947.686520679999</c:v>
                </c:pt>
                <c:pt idx="97">
                  <c:v>15947.686520679999</c:v>
                </c:pt>
                <c:pt idx="98">
                  <c:v>15947.686520679999</c:v>
                </c:pt>
              </c:numCache>
            </c:numRef>
          </c:val>
        </c:ser>
        <c:marker val="1"/>
        <c:axId val="47172608"/>
        <c:axId val="93913856"/>
      </c:lineChart>
      <c:catAx>
        <c:axId val="47172608"/>
        <c:scaling>
          <c:orientation val="minMax"/>
        </c:scaling>
        <c:axPos val="b"/>
        <c:majorTickMark val="none"/>
        <c:tickLblPos val="nextTo"/>
        <c:crossAx val="93913856"/>
        <c:crosses val="autoZero"/>
        <c:auto val="1"/>
        <c:lblAlgn val="ctr"/>
        <c:lblOffset val="100"/>
      </c:catAx>
      <c:valAx>
        <c:axId val="93913856"/>
        <c:scaling>
          <c:orientation val="minMax"/>
        </c:scaling>
        <c:axPos val="l"/>
        <c:majorGridlines/>
        <c:numFmt formatCode="General" sourceLinked="1"/>
        <c:majorTickMark val="none"/>
        <c:tickLblPos val="nextTo"/>
        <c:spPr>
          <a:ln w="9525">
            <a:noFill/>
          </a:ln>
        </c:spPr>
        <c:crossAx val="47172608"/>
        <c:crosses val="autoZero"/>
        <c:crossBetween val="between"/>
      </c:valAx>
    </c:plotArea>
    <c:legend>
      <c:legendPos val="b"/>
    </c:legend>
    <c:plotVisOnly val="1"/>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El Paso</a:t>
            </a:r>
          </a:p>
        </c:rich>
      </c:tx>
    </c:title>
    <c:plotArea>
      <c:layout/>
      <c:lineChart>
        <c:grouping val="standard"/>
        <c:ser>
          <c:idx val="0"/>
          <c:order val="0"/>
          <c:tx>
            <c:strRef>
              <c:f>percentiles_mse!$I$2</c:f>
              <c:strCache>
                <c:ptCount val="1"/>
                <c:pt idx="0">
                  <c:v>MSE Year of Move</c:v>
                </c:pt>
              </c:strCache>
            </c:strRef>
          </c:tx>
          <c:marker>
            <c:symbol val="none"/>
          </c:marker>
          <c:val>
            <c:numRef>
              <c:f>percentiles_mse!$I$3:$I$101</c:f>
              <c:numCache>
                <c:formatCode>General</c:formatCode>
                <c:ptCount val="99"/>
                <c:pt idx="0">
                  <c:v>146046.3386748</c:v>
                </c:pt>
                <c:pt idx="1">
                  <c:v>146046.3386748</c:v>
                </c:pt>
                <c:pt idx="2">
                  <c:v>146046.3386748</c:v>
                </c:pt>
                <c:pt idx="3">
                  <c:v>146046.3386748</c:v>
                </c:pt>
                <c:pt idx="4">
                  <c:v>146046.3386748</c:v>
                </c:pt>
                <c:pt idx="5">
                  <c:v>146046.3386748</c:v>
                </c:pt>
                <c:pt idx="6">
                  <c:v>146046.3386748</c:v>
                </c:pt>
                <c:pt idx="7">
                  <c:v>146046.3386748</c:v>
                </c:pt>
                <c:pt idx="8">
                  <c:v>146046.3386748</c:v>
                </c:pt>
                <c:pt idx="9">
                  <c:v>146046.3386748</c:v>
                </c:pt>
                <c:pt idx="10">
                  <c:v>146046.3386748</c:v>
                </c:pt>
                <c:pt idx="11">
                  <c:v>146046.3386748</c:v>
                </c:pt>
                <c:pt idx="12">
                  <c:v>146046.3386748</c:v>
                </c:pt>
                <c:pt idx="13">
                  <c:v>146046.3386748</c:v>
                </c:pt>
                <c:pt idx="14">
                  <c:v>146046.3386748</c:v>
                </c:pt>
                <c:pt idx="15">
                  <c:v>146046.3386748</c:v>
                </c:pt>
                <c:pt idx="16">
                  <c:v>146046.3386748</c:v>
                </c:pt>
                <c:pt idx="17">
                  <c:v>146046.3386748</c:v>
                </c:pt>
                <c:pt idx="18">
                  <c:v>146046.3386748</c:v>
                </c:pt>
                <c:pt idx="19">
                  <c:v>146046.3386748</c:v>
                </c:pt>
                <c:pt idx="20">
                  <c:v>146046.3386748</c:v>
                </c:pt>
                <c:pt idx="21">
                  <c:v>146046.3386748</c:v>
                </c:pt>
                <c:pt idx="22">
                  <c:v>146046.3386748</c:v>
                </c:pt>
                <c:pt idx="23">
                  <c:v>146046.3386748</c:v>
                </c:pt>
                <c:pt idx="24">
                  <c:v>146046.3386748</c:v>
                </c:pt>
                <c:pt idx="25">
                  <c:v>146046.3386748</c:v>
                </c:pt>
                <c:pt idx="26">
                  <c:v>146046.3386748</c:v>
                </c:pt>
                <c:pt idx="27">
                  <c:v>146046.3386748</c:v>
                </c:pt>
                <c:pt idx="28">
                  <c:v>146046.3386748</c:v>
                </c:pt>
                <c:pt idx="29">
                  <c:v>146046.3386748</c:v>
                </c:pt>
                <c:pt idx="30">
                  <c:v>146046.3386748</c:v>
                </c:pt>
                <c:pt idx="31">
                  <c:v>146046.3386748</c:v>
                </c:pt>
                <c:pt idx="32">
                  <c:v>146046.3386748</c:v>
                </c:pt>
                <c:pt idx="33">
                  <c:v>146046.3386748</c:v>
                </c:pt>
                <c:pt idx="34">
                  <c:v>146046.3386748</c:v>
                </c:pt>
                <c:pt idx="35">
                  <c:v>146046.3386748</c:v>
                </c:pt>
                <c:pt idx="36">
                  <c:v>146046.3386748</c:v>
                </c:pt>
                <c:pt idx="37">
                  <c:v>146046.3386748</c:v>
                </c:pt>
                <c:pt idx="38">
                  <c:v>150334.45752329999</c:v>
                </c:pt>
                <c:pt idx="39">
                  <c:v>150334.45752329999</c:v>
                </c:pt>
                <c:pt idx="40">
                  <c:v>150334.45752329999</c:v>
                </c:pt>
                <c:pt idx="41">
                  <c:v>150334.45752329999</c:v>
                </c:pt>
                <c:pt idx="42">
                  <c:v>150334.45752329999</c:v>
                </c:pt>
                <c:pt idx="43">
                  <c:v>150334.45752329999</c:v>
                </c:pt>
                <c:pt idx="44">
                  <c:v>150334.45752329999</c:v>
                </c:pt>
                <c:pt idx="45">
                  <c:v>150334.45752329999</c:v>
                </c:pt>
                <c:pt idx="46">
                  <c:v>150334.45752329999</c:v>
                </c:pt>
                <c:pt idx="47">
                  <c:v>150334.45752329999</c:v>
                </c:pt>
                <c:pt idx="48">
                  <c:v>150334.45752329999</c:v>
                </c:pt>
                <c:pt idx="49">
                  <c:v>150334.45752329999</c:v>
                </c:pt>
                <c:pt idx="50">
                  <c:v>150334.45752329999</c:v>
                </c:pt>
                <c:pt idx="51">
                  <c:v>150334.45752329999</c:v>
                </c:pt>
                <c:pt idx="52">
                  <c:v>150334.45752329999</c:v>
                </c:pt>
                <c:pt idx="53">
                  <c:v>150334.45752329999</c:v>
                </c:pt>
                <c:pt idx="54">
                  <c:v>146128.71424890001</c:v>
                </c:pt>
                <c:pt idx="55">
                  <c:v>146128.71424890001</c:v>
                </c:pt>
                <c:pt idx="56">
                  <c:v>146128.71424890001</c:v>
                </c:pt>
                <c:pt idx="57">
                  <c:v>146128.71424890001</c:v>
                </c:pt>
                <c:pt idx="58">
                  <c:v>146128.71424890001</c:v>
                </c:pt>
                <c:pt idx="59">
                  <c:v>146128.71424890001</c:v>
                </c:pt>
                <c:pt idx="60">
                  <c:v>146128.71424890001</c:v>
                </c:pt>
                <c:pt idx="61">
                  <c:v>146128.71424890001</c:v>
                </c:pt>
                <c:pt idx="62">
                  <c:v>146128.71424890001</c:v>
                </c:pt>
                <c:pt idx="63">
                  <c:v>146128.71424890001</c:v>
                </c:pt>
                <c:pt idx="64">
                  <c:v>144167.0459233</c:v>
                </c:pt>
                <c:pt idx="65">
                  <c:v>144167.0459233</c:v>
                </c:pt>
                <c:pt idx="66">
                  <c:v>144167.0459233</c:v>
                </c:pt>
                <c:pt idx="67">
                  <c:v>144167.0459233</c:v>
                </c:pt>
                <c:pt idx="68">
                  <c:v>144167.0459233</c:v>
                </c:pt>
                <c:pt idx="69">
                  <c:v>144167.0459233</c:v>
                </c:pt>
                <c:pt idx="70">
                  <c:v>144161.41895369999</c:v>
                </c:pt>
                <c:pt idx="71">
                  <c:v>144161.41895369999</c:v>
                </c:pt>
                <c:pt idx="72">
                  <c:v>144161.41895369999</c:v>
                </c:pt>
                <c:pt idx="73">
                  <c:v>144161.41895369999</c:v>
                </c:pt>
                <c:pt idx="74">
                  <c:v>144161.41895369999</c:v>
                </c:pt>
                <c:pt idx="75">
                  <c:v>144161.41895369999</c:v>
                </c:pt>
                <c:pt idx="76">
                  <c:v>143508.3407382</c:v>
                </c:pt>
                <c:pt idx="77">
                  <c:v>143508.3407382</c:v>
                </c:pt>
                <c:pt idx="78">
                  <c:v>143508.3407382</c:v>
                </c:pt>
                <c:pt idx="79">
                  <c:v>143508.3407382</c:v>
                </c:pt>
                <c:pt idx="80">
                  <c:v>143508.3407382</c:v>
                </c:pt>
                <c:pt idx="81">
                  <c:v>143508.3407382</c:v>
                </c:pt>
                <c:pt idx="82">
                  <c:v>140012.73636489999</c:v>
                </c:pt>
                <c:pt idx="83">
                  <c:v>140012.73636489999</c:v>
                </c:pt>
                <c:pt idx="84">
                  <c:v>140012.73636489999</c:v>
                </c:pt>
                <c:pt idx="85">
                  <c:v>140012.73636489999</c:v>
                </c:pt>
                <c:pt idx="86">
                  <c:v>140012.73636489999</c:v>
                </c:pt>
                <c:pt idx="87">
                  <c:v>140012.73636489999</c:v>
                </c:pt>
                <c:pt idx="88">
                  <c:v>140012.73636489999</c:v>
                </c:pt>
                <c:pt idx="89">
                  <c:v>140012.73636489999</c:v>
                </c:pt>
                <c:pt idx="90">
                  <c:v>115794.03647190001</c:v>
                </c:pt>
                <c:pt idx="91">
                  <c:v>115794.03647190001</c:v>
                </c:pt>
                <c:pt idx="92">
                  <c:v>115794.03647190001</c:v>
                </c:pt>
                <c:pt idx="93">
                  <c:v>115794.03647190001</c:v>
                </c:pt>
                <c:pt idx="94">
                  <c:v>105115.7603852</c:v>
                </c:pt>
                <c:pt idx="95">
                  <c:v>102172.5153007</c:v>
                </c:pt>
                <c:pt idx="96">
                  <c:v>100386.50640519999</c:v>
                </c:pt>
                <c:pt idx="97">
                  <c:v>100386.50640519999</c:v>
                </c:pt>
                <c:pt idx="98">
                  <c:v>100386.50640519999</c:v>
                </c:pt>
              </c:numCache>
            </c:numRef>
          </c:val>
        </c:ser>
        <c:marker val="1"/>
        <c:axId val="93933952"/>
        <c:axId val="93935488"/>
      </c:lineChart>
      <c:catAx>
        <c:axId val="93933952"/>
        <c:scaling>
          <c:orientation val="minMax"/>
        </c:scaling>
        <c:axPos val="b"/>
        <c:majorTickMark val="none"/>
        <c:tickLblPos val="nextTo"/>
        <c:crossAx val="93935488"/>
        <c:crosses val="autoZero"/>
        <c:auto val="1"/>
        <c:lblAlgn val="ctr"/>
        <c:lblOffset val="100"/>
      </c:catAx>
      <c:valAx>
        <c:axId val="93935488"/>
        <c:scaling>
          <c:orientation val="minMax"/>
        </c:scaling>
        <c:axPos val="l"/>
        <c:majorGridlines/>
        <c:title/>
        <c:numFmt formatCode="General" sourceLinked="1"/>
        <c:majorTickMark val="none"/>
        <c:tickLblPos val="nextTo"/>
        <c:crossAx val="93933952"/>
        <c:crosses val="autoZero"/>
        <c:crossBetween val="between"/>
      </c:valAx>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Webb</a:t>
            </a:r>
          </a:p>
        </c:rich>
      </c:tx>
    </c:title>
    <c:plotArea>
      <c:layout/>
      <c:lineChart>
        <c:grouping val="standard"/>
        <c:ser>
          <c:idx val="0"/>
          <c:order val="0"/>
          <c:tx>
            <c:strRef>
              <c:f>percentiles_mse!$L$2</c:f>
              <c:strCache>
                <c:ptCount val="1"/>
                <c:pt idx="0">
                  <c:v>MSE Year of Move</c:v>
                </c:pt>
              </c:strCache>
            </c:strRef>
          </c:tx>
          <c:marker>
            <c:symbol val="none"/>
          </c:marker>
          <c:val>
            <c:numRef>
              <c:f>percentiles_mse!$L$3:$L$101</c:f>
              <c:numCache>
                <c:formatCode>General</c:formatCode>
                <c:ptCount val="99"/>
                <c:pt idx="0">
                  <c:v>84725.361826260007</c:v>
                </c:pt>
                <c:pt idx="1">
                  <c:v>84725.361826260007</c:v>
                </c:pt>
                <c:pt idx="2">
                  <c:v>84725.361826260007</c:v>
                </c:pt>
                <c:pt idx="3">
                  <c:v>84725.361826260007</c:v>
                </c:pt>
                <c:pt idx="4">
                  <c:v>84725.361826260007</c:v>
                </c:pt>
                <c:pt idx="5">
                  <c:v>84725.361826260007</c:v>
                </c:pt>
                <c:pt idx="6">
                  <c:v>84725.361826260007</c:v>
                </c:pt>
                <c:pt idx="7">
                  <c:v>84725.361826260007</c:v>
                </c:pt>
                <c:pt idx="8">
                  <c:v>84725.361826260007</c:v>
                </c:pt>
                <c:pt idx="9">
                  <c:v>84725.361826260007</c:v>
                </c:pt>
                <c:pt idx="10">
                  <c:v>84725.361826260007</c:v>
                </c:pt>
                <c:pt idx="11">
                  <c:v>84725.361826260007</c:v>
                </c:pt>
                <c:pt idx="12">
                  <c:v>84725.361826260007</c:v>
                </c:pt>
                <c:pt idx="13">
                  <c:v>84725.361826260007</c:v>
                </c:pt>
                <c:pt idx="14">
                  <c:v>84725.361826260007</c:v>
                </c:pt>
                <c:pt idx="15">
                  <c:v>84725.361826260007</c:v>
                </c:pt>
                <c:pt idx="16">
                  <c:v>84725.361826260007</c:v>
                </c:pt>
                <c:pt idx="17">
                  <c:v>84725.361826260007</c:v>
                </c:pt>
                <c:pt idx="18">
                  <c:v>84725.361826260007</c:v>
                </c:pt>
                <c:pt idx="19">
                  <c:v>84725.361826260007</c:v>
                </c:pt>
                <c:pt idx="20">
                  <c:v>84725.361826260007</c:v>
                </c:pt>
                <c:pt idx="21">
                  <c:v>84725.361826260007</c:v>
                </c:pt>
                <c:pt idx="22">
                  <c:v>84725.361826260007</c:v>
                </c:pt>
                <c:pt idx="23">
                  <c:v>84725.361826260007</c:v>
                </c:pt>
                <c:pt idx="24">
                  <c:v>84725.361826260007</c:v>
                </c:pt>
                <c:pt idx="25">
                  <c:v>84725.361826260007</c:v>
                </c:pt>
                <c:pt idx="26">
                  <c:v>84725.361826260007</c:v>
                </c:pt>
                <c:pt idx="27">
                  <c:v>84725.361826260007</c:v>
                </c:pt>
                <c:pt idx="28">
                  <c:v>84725.361826260007</c:v>
                </c:pt>
                <c:pt idx="29">
                  <c:v>84725.361826260007</c:v>
                </c:pt>
                <c:pt idx="30">
                  <c:v>84725.361826260007</c:v>
                </c:pt>
                <c:pt idx="31">
                  <c:v>84725.361826260007</c:v>
                </c:pt>
                <c:pt idx="32">
                  <c:v>84725.361826260007</c:v>
                </c:pt>
                <c:pt idx="33">
                  <c:v>84725.361826260007</c:v>
                </c:pt>
                <c:pt idx="34">
                  <c:v>84725.361826260007</c:v>
                </c:pt>
                <c:pt idx="35">
                  <c:v>84725.361826260007</c:v>
                </c:pt>
                <c:pt idx="36">
                  <c:v>84725.361826260007</c:v>
                </c:pt>
                <c:pt idx="37">
                  <c:v>84725.361826260007</c:v>
                </c:pt>
                <c:pt idx="38">
                  <c:v>84725.361826260007</c:v>
                </c:pt>
                <c:pt idx="39">
                  <c:v>84725.361826260007</c:v>
                </c:pt>
                <c:pt idx="40">
                  <c:v>84725.361826260007</c:v>
                </c:pt>
                <c:pt idx="41">
                  <c:v>84725.361826260007</c:v>
                </c:pt>
                <c:pt idx="42">
                  <c:v>84725.361826260007</c:v>
                </c:pt>
                <c:pt idx="43">
                  <c:v>84725.361826260007</c:v>
                </c:pt>
                <c:pt idx="44">
                  <c:v>84725.361826260007</c:v>
                </c:pt>
                <c:pt idx="45">
                  <c:v>84725.361826260007</c:v>
                </c:pt>
                <c:pt idx="46">
                  <c:v>84725.361826260007</c:v>
                </c:pt>
                <c:pt idx="47">
                  <c:v>89483.181811799994</c:v>
                </c:pt>
                <c:pt idx="48">
                  <c:v>95747.775724520005</c:v>
                </c:pt>
                <c:pt idx="49">
                  <c:v>95747.775724520005</c:v>
                </c:pt>
                <c:pt idx="50">
                  <c:v>95747.775724520005</c:v>
                </c:pt>
                <c:pt idx="51">
                  <c:v>95747.775724520005</c:v>
                </c:pt>
                <c:pt idx="52">
                  <c:v>95747.775724520005</c:v>
                </c:pt>
                <c:pt idx="53">
                  <c:v>95747.775724520005</c:v>
                </c:pt>
                <c:pt idx="54">
                  <c:v>95747.775724520005</c:v>
                </c:pt>
                <c:pt idx="55">
                  <c:v>95747.775724520005</c:v>
                </c:pt>
                <c:pt idx="56">
                  <c:v>97149.533203419996</c:v>
                </c:pt>
                <c:pt idx="57">
                  <c:v>97149.533203419996</c:v>
                </c:pt>
                <c:pt idx="58">
                  <c:v>97149.533203419996</c:v>
                </c:pt>
                <c:pt idx="59">
                  <c:v>97149.533203419996</c:v>
                </c:pt>
                <c:pt idx="60">
                  <c:v>97149.533203419996</c:v>
                </c:pt>
                <c:pt idx="61">
                  <c:v>97149.533203419996</c:v>
                </c:pt>
                <c:pt idx="62">
                  <c:v>97149.533203419996</c:v>
                </c:pt>
                <c:pt idx="63">
                  <c:v>97149.533203419996</c:v>
                </c:pt>
                <c:pt idx="64">
                  <c:v>97149.533203419996</c:v>
                </c:pt>
                <c:pt idx="65">
                  <c:v>97149.533203419996</c:v>
                </c:pt>
                <c:pt idx="66">
                  <c:v>97149.533203419996</c:v>
                </c:pt>
                <c:pt idx="67">
                  <c:v>114259.56045419999</c:v>
                </c:pt>
                <c:pt idx="68">
                  <c:v>114259.56045419999</c:v>
                </c:pt>
                <c:pt idx="69">
                  <c:v>114259.56045419999</c:v>
                </c:pt>
                <c:pt idx="70">
                  <c:v>114259.56045419999</c:v>
                </c:pt>
                <c:pt idx="71">
                  <c:v>114259.56045419999</c:v>
                </c:pt>
                <c:pt idx="72">
                  <c:v>114259.56045419999</c:v>
                </c:pt>
                <c:pt idx="73">
                  <c:v>114259.56045419999</c:v>
                </c:pt>
                <c:pt idx="74">
                  <c:v>114259.56045419999</c:v>
                </c:pt>
                <c:pt idx="75">
                  <c:v>114259.56045419999</c:v>
                </c:pt>
                <c:pt idx="76">
                  <c:v>114259.56045419999</c:v>
                </c:pt>
                <c:pt idx="77">
                  <c:v>114259.56045419999</c:v>
                </c:pt>
                <c:pt idx="78">
                  <c:v>114259.56045419999</c:v>
                </c:pt>
                <c:pt idx="79">
                  <c:v>114259.56045419999</c:v>
                </c:pt>
                <c:pt idx="80">
                  <c:v>114259.56045419999</c:v>
                </c:pt>
                <c:pt idx="81">
                  <c:v>143499.13621220001</c:v>
                </c:pt>
                <c:pt idx="82">
                  <c:v>143499.13621220001</c:v>
                </c:pt>
                <c:pt idx="83">
                  <c:v>143499.13621220001</c:v>
                </c:pt>
                <c:pt idx="84">
                  <c:v>143499.13621220001</c:v>
                </c:pt>
                <c:pt idx="85">
                  <c:v>143499.13621220001</c:v>
                </c:pt>
                <c:pt idx="86">
                  <c:v>143499.13621220001</c:v>
                </c:pt>
                <c:pt idx="87">
                  <c:v>143499.13621220001</c:v>
                </c:pt>
                <c:pt idx="88">
                  <c:v>143499.13621220001</c:v>
                </c:pt>
                <c:pt idx="89">
                  <c:v>143499.13621220001</c:v>
                </c:pt>
                <c:pt idx="90">
                  <c:v>152436.46691739999</c:v>
                </c:pt>
                <c:pt idx="91">
                  <c:v>152436.46691739999</c:v>
                </c:pt>
                <c:pt idx="92">
                  <c:v>152436.46691739999</c:v>
                </c:pt>
                <c:pt idx="93">
                  <c:v>152436.46691739999</c:v>
                </c:pt>
                <c:pt idx="94">
                  <c:v>152436.46691739999</c:v>
                </c:pt>
                <c:pt idx="95">
                  <c:v>152436.46691739999</c:v>
                </c:pt>
                <c:pt idx="96">
                  <c:v>152436.46691739999</c:v>
                </c:pt>
                <c:pt idx="97">
                  <c:v>152436.46691739999</c:v>
                </c:pt>
                <c:pt idx="98">
                  <c:v>152436.46691739999</c:v>
                </c:pt>
              </c:numCache>
            </c:numRef>
          </c:val>
        </c:ser>
        <c:marker val="1"/>
        <c:axId val="93955968"/>
        <c:axId val="93957504"/>
      </c:lineChart>
      <c:catAx>
        <c:axId val="93955968"/>
        <c:scaling>
          <c:orientation val="minMax"/>
        </c:scaling>
        <c:axPos val="b"/>
        <c:majorTickMark val="none"/>
        <c:tickLblPos val="nextTo"/>
        <c:crossAx val="93957504"/>
        <c:crosses val="autoZero"/>
        <c:auto val="1"/>
        <c:lblAlgn val="ctr"/>
        <c:lblOffset val="100"/>
      </c:catAx>
      <c:valAx>
        <c:axId val="93957504"/>
        <c:scaling>
          <c:orientation val="minMax"/>
        </c:scaling>
        <c:axPos val="l"/>
        <c:majorGridlines/>
        <c:title/>
        <c:numFmt formatCode="General" sourceLinked="1"/>
        <c:majorTickMark val="none"/>
        <c:tickLblPos val="nextTo"/>
        <c:crossAx val="93955968"/>
        <c:crosses val="autoZero"/>
        <c:crossBetween val="between"/>
      </c:valAx>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Hidalgo</a:t>
            </a:r>
          </a:p>
        </c:rich>
      </c:tx>
    </c:title>
    <c:plotArea>
      <c:layout/>
      <c:lineChart>
        <c:grouping val="standard"/>
        <c:ser>
          <c:idx val="0"/>
          <c:order val="0"/>
          <c:tx>
            <c:strRef>
              <c:f>percentiles_mse!$O$2</c:f>
              <c:strCache>
                <c:ptCount val="1"/>
                <c:pt idx="0">
                  <c:v>MSE Year of Move</c:v>
                </c:pt>
              </c:strCache>
            </c:strRef>
          </c:tx>
          <c:marker>
            <c:symbol val="none"/>
          </c:marker>
          <c:val>
            <c:numRef>
              <c:f>percentiles_mse!$O$3:$O$101</c:f>
              <c:numCache>
                <c:formatCode>General</c:formatCode>
                <c:ptCount val="99"/>
                <c:pt idx="0">
                  <c:v>61376.121865460002</c:v>
                </c:pt>
                <c:pt idx="1">
                  <c:v>61376.121865460002</c:v>
                </c:pt>
                <c:pt idx="2">
                  <c:v>61376.121865460002</c:v>
                </c:pt>
                <c:pt idx="3">
                  <c:v>61376.121865460002</c:v>
                </c:pt>
                <c:pt idx="4">
                  <c:v>61376.121865460002</c:v>
                </c:pt>
                <c:pt idx="5">
                  <c:v>61376.121865460002</c:v>
                </c:pt>
                <c:pt idx="6">
                  <c:v>61376.121865460002</c:v>
                </c:pt>
                <c:pt idx="7">
                  <c:v>61376.121865460002</c:v>
                </c:pt>
                <c:pt idx="8">
                  <c:v>61376.121865460002</c:v>
                </c:pt>
                <c:pt idx="9">
                  <c:v>61376.121865460002</c:v>
                </c:pt>
                <c:pt idx="10">
                  <c:v>61376.121865460002</c:v>
                </c:pt>
                <c:pt idx="11">
                  <c:v>61376.121865460002</c:v>
                </c:pt>
                <c:pt idx="12">
                  <c:v>61376.121865460002</c:v>
                </c:pt>
                <c:pt idx="13">
                  <c:v>61376.121865460002</c:v>
                </c:pt>
                <c:pt idx="14">
                  <c:v>61376.121865460002</c:v>
                </c:pt>
                <c:pt idx="15">
                  <c:v>61376.121865460002</c:v>
                </c:pt>
                <c:pt idx="16">
                  <c:v>61376.121865460002</c:v>
                </c:pt>
                <c:pt idx="17">
                  <c:v>61376.121865460002</c:v>
                </c:pt>
                <c:pt idx="18">
                  <c:v>61376.121865460002</c:v>
                </c:pt>
                <c:pt idx="19">
                  <c:v>61376.121865460002</c:v>
                </c:pt>
                <c:pt idx="20">
                  <c:v>61376.121865460002</c:v>
                </c:pt>
                <c:pt idx="21">
                  <c:v>61376.121865460002</c:v>
                </c:pt>
                <c:pt idx="22">
                  <c:v>61376.121865460002</c:v>
                </c:pt>
                <c:pt idx="23">
                  <c:v>61376.121865460002</c:v>
                </c:pt>
                <c:pt idx="24">
                  <c:v>61376.121865460002</c:v>
                </c:pt>
                <c:pt idx="25">
                  <c:v>61376.121865460002</c:v>
                </c:pt>
                <c:pt idx="26">
                  <c:v>61376.121865460002</c:v>
                </c:pt>
                <c:pt idx="27">
                  <c:v>61376.121865460002</c:v>
                </c:pt>
                <c:pt idx="28">
                  <c:v>61376.121865460002</c:v>
                </c:pt>
                <c:pt idx="29">
                  <c:v>61376.121865460002</c:v>
                </c:pt>
                <c:pt idx="30">
                  <c:v>61376.121865460002</c:v>
                </c:pt>
                <c:pt idx="31">
                  <c:v>61376.121865460002</c:v>
                </c:pt>
                <c:pt idx="32">
                  <c:v>61376.121865460002</c:v>
                </c:pt>
                <c:pt idx="33">
                  <c:v>61376.121865460002</c:v>
                </c:pt>
                <c:pt idx="34">
                  <c:v>61376.121865460002</c:v>
                </c:pt>
                <c:pt idx="35">
                  <c:v>61376.121865460002</c:v>
                </c:pt>
                <c:pt idx="36">
                  <c:v>61376.121865460002</c:v>
                </c:pt>
                <c:pt idx="37">
                  <c:v>61376.121865460002</c:v>
                </c:pt>
                <c:pt idx="38">
                  <c:v>61376.121865460002</c:v>
                </c:pt>
                <c:pt idx="39">
                  <c:v>61376.121865460002</c:v>
                </c:pt>
                <c:pt idx="40">
                  <c:v>61376.121865460002</c:v>
                </c:pt>
                <c:pt idx="41">
                  <c:v>61376.121865460002</c:v>
                </c:pt>
                <c:pt idx="42">
                  <c:v>61376.121865460002</c:v>
                </c:pt>
                <c:pt idx="43">
                  <c:v>61376.121865460002</c:v>
                </c:pt>
                <c:pt idx="44">
                  <c:v>61376.121865460002</c:v>
                </c:pt>
                <c:pt idx="45">
                  <c:v>61376.121865460002</c:v>
                </c:pt>
                <c:pt idx="46">
                  <c:v>61376.121865460002</c:v>
                </c:pt>
                <c:pt idx="47">
                  <c:v>61376.121865460002</c:v>
                </c:pt>
                <c:pt idx="48">
                  <c:v>61376.121865460002</c:v>
                </c:pt>
                <c:pt idx="49">
                  <c:v>61376.121865460002</c:v>
                </c:pt>
                <c:pt idx="50">
                  <c:v>61376.121865460002</c:v>
                </c:pt>
                <c:pt idx="51">
                  <c:v>61376.121865460002</c:v>
                </c:pt>
                <c:pt idx="52">
                  <c:v>61376.121865460002</c:v>
                </c:pt>
                <c:pt idx="53">
                  <c:v>61376.121865460002</c:v>
                </c:pt>
                <c:pt idx="54">
                  <c:v>61376.121865460002</c:v>
                </c:pt>
                <c:pt idx="55">
                  <c:v>61376.121865460002</c:v>
                </c:pt>
                <c:pt idx="56">
                  <c:v>36074.462968120002</c:v>
                </c:pt>
                <c:pt idx="57">
                  <c:v>36074.462968120002</c:v>
                </c:pt>
                <c:pt idx="58">
                  <c:v>36074.462968120002</c:v>
                </c:pt>
                <c:pt idx="59">
                  <c:v>36074.462968120002</c:v>
                </c:pt>
                <c:pt idx="60">
                  <c:v>36074.462968120002</c:v>
                </c:pt>
                <c:pt idx="61">
                  <c:v>36074.462968120002</c:v>
                </c:pt>
                <c:pt idx="62">
                  <c:v>36074.462968120002</c:v>
                </c:pt>
                <c:pt idx="63">
                  <c:v>36074.462968120002</c:v>
                </c:pt>
                <c:pt idx="64">
                  <c:v>36074.462968120002</c:v>
                </c:pt>
                <c:pt idx="65">
                  <c:v>36074.462968120002</c:v>
                </c:pt>
                <c:pt idx="66">
                  <c:v>36074.462968120002</c:v>
                </c:pt>
                <c:pt idx="67">
                  <c:v>36074.462968120002</c:v>
                </c:pt>
                <c:pt idx="68">
                  <c:v>36074.462968120002</c:v>
                </c:pt>
                <c:pt idx="69">
                  <c:v>36074.462968120002</c:v>
                </c:pt>
                <c:pt idx="70">
                  <c:v>36074.462968120002</c:v>
                </c:pt>
                <c:pt idx="71">
                  <c:v>36074.462968120002</c:v>
                </c:pt>
                <c:pt idx="72">
                  <c:v>36074.462968120002</c:v>
                </c:pt>
                <c:pt idx="73">
                  <c:v>36074.462968120002</c:v>
                </c:pt>
                <c:pt idx="74">
                  <c:v>36074.462968120002</c:v>
                </c:pt>
                <c:pt idx="75">
                  <c:v>36074.462968120002</c:v>
                </c:pt>
                <c:pt idx="76">
                  <c:v>36074.462968120002</c:v>
                </c:pt>
                <c:pt idx="77">
                  <c:v>36074.462968120002</c:v>
                </c:pt>
                <c:pt idx="78">
                  <c:v>36074.462968120002</c:v>
                </c:pt>
                <c:pt idx="79">
                  <c:v>32386.862045670001</c:v>
                </c:pt>
                <c:pt idx="80">
                  <c:v>32386.862045670001</c:v>
                </c:pt>
                <c:pt idx="81">
                  <c:v>32386.862045670001</c:v>
                </c:pt>
                <c:pt idx="82">
                  <c:v>32386.862045670001</c:v>
                </c:pt>
                <c:pt idx="83">
                  <c:v>32386.862045670001</c:v>
                </c:pt>
                <c:pt idx="84">
                  <c:v>32386.862045670001</c:v>
                </c:pt>
                <c:pt idx="85">
                  <c:v>32386.862045670001</c:v>
                </c:pt>
                <c:pt idx="86">
                  <c:v>28279.261679200001</c:v>
                </c:pt>
                <c:pt idx="87">
                  <c:v>28279.261679200001</c:v>
                </c:pt>
                <c:pt idx="88">
                  <c:v>28279.261679200001</c:v>
                </c:pt>
                <c:pt idx="89">
                  <c:v>28279.261679200001</c:v>
                </c:pt>
                <c:pt idx="90">
                  <c:v>28279.261679200001</c:v>
                </c:pt>
                <c:pt idx="91">
                  <c:v>28279.261679200001</c:v>
                </c:pt>
                <c:pt idx="92">
                  <c:v>20163.508550350001</c:v>
                </c:pt>
                <c:pt idx="93">
                  <c:v>20163.508550350001</c:v>
                </c:pt>
                <c:pt idx="94">
                  <c:v>20163.508550350001</c:v>
                </c:pt>
                <c:pt idx="95">
                  <c:v>18615.204062600002</c:v>
                </c:pt>
                <c:pt idx="96">
                  <c:v>18615.204062600002</c:v>
                </c:pt>
                <c:pt idx="97">
                  <c:v>18615.204062600002</c:v>
                </c:pt>
                <c:pt idx="98">
                  <c:v>18615.204062600002</c:v>
                </c:pt>
              </c:numCache>
            </c:numRef>
          </c:val>
        </c:ser>
        <c:marker val="1"/>
        <c:axId val="47451520"/>
        <c:axId val="47465600"/>
      </c:lineChart>
      <c:catAx>
        <c:axId val="47451520"/>
        <c:scaling>
          <c:orientation val="minMax"/>
        </c:scaling>
        <c:axPos val="b"/>
        <c:majorTickMark val="none"/>
        <c:tickLblPos val="nextTo"/>
        <c:crossAx val="47465600"/>
        <c:crosses val="autoZero"/>
        <c:auto val="1"/>
        <c:lblAlgn val="ctr"/>
        <c:lblOffset val="100"/>
      </c:catAx>
      <c:valAx>
        <c:axId val="47465600"/>
        <c:scaling>
          <c:orientation val="minMax"/>
        </c:scaling>
        <c:axPos val="l"/>
        <c:majorGridlines/>
        <c:title/>
        <c:numFmt formatCode="General" sourceLinked="1"/>
        <c:majorTickMark val="none"/>
        <c:tickLblPos val="nextTo"/>
        <c:crossAx val="47451520"/>
        <c:crosses val="autoZero"/>
        <c:crossBetween val="between"/>
      </c:valAx>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Cameron</a:t>
            </a:r>
          </a:p>
        </c:rich>
      </c:tx>
    </c:title>
    <c:plotArea>
      <c:layout/>
      <c:lineChart>
        <c:grouping val="standard"/>
        <c:ser>
          <c:idx val="0"/>
          <c:order val="0"/>
          <c:tx>
            <c:strRef>
              <c:f>percentiles_mse!$R$2</c:f>
              <c:strCache>
                <c:ptCount val="1"/>
                <c:pt idx="0">
                  <c:v>MSE Year of Move</c:v>
                </c:pt>
              </c:strCache>
            </c:strRef>
          </c:tx>
          <c:marker>
            <c:symbol val="none"/>
          </c:marker>
          <c:val>
            <c:numRef>
              <c:f>percentiles_mse!$R$3:$R$101</c:f>
              <c:numCache>
                <c:formatCode>General</c:formatCode>
                <c:ptCount val="99"/>
                <c:pt idx="0">
                  <c:v>89081.329094169996</c:v>
                </c:pt>
                <c:pt idx="1">
                  <c:v>89081.329094169996</c:v>
                </c:pt>
                <c:pt idx="2">
                  <c:v>89081.329094169996</c:v>
                </c:pt>
                <c:pt idx="3">
                  <c:v>89081.329094169996</c:v>
                </c:pt>
                <c:pt idx="4">
                  <c:v>89081.329094169996</c:v>
                </c:pt>
                <c:pt idx="5">
                  <c:v>89081.329094169996</c:v>
                </c:pt>
                <c:pt idx="6">
                  <c:v>89081.329094169996</c:v>
                </c:pt>
                <c:pt idx="7">
                  <c:v>89081.329094169996</c:v>
                </c:pt>
                <c:pt idx="8">
                  <c:v>89081.329094169996</c:v>
                </c:pt>
                <c:pt idx="9">
                  <c:v>89081.329094169996</c:v>
                </c:pt>
                <c:pt idx="10">
                  <c:v>89081.329094169996</c:v>
                </c:pt>
                <c:pt idx="11">
                  <c:v>89081.329094169996</c:v>
                </c:pt>
                <c:pt idx="12">
                  <c:v>89081.329094169996</c:v>
                </c:pt>
                <c:pt idx="13">
                  <c:v>89081.329094169996</c:v>
                </c:pt>
                <c:pt idx="14">
                  <c:v>89081.329094169996</c:v>
                </c:pt>
                <c:pt idx="15">
                  <c:v>89081.329094169996</c:v>
                </c:pt>
                <c:pt idx="16">
                  <c:v>89081.329094169996</c:v>
                </c:pt>
                <c:pt idx="17">
                  <c:v>89081.329094169996</c:v>
                </c:pt>
                <c:pt idx="18">
                  <c:v>89081.329094169996</c:v>
                </c:pt>
                <c:pt idx="19">
                  <c:v>89081.329094169996</c:v>
                </c:pt>
                <c:pt idx="20">
                  <c:v>89081.329094169996</c:v>
                </c:pt>
                <c:pt idx="21">
                  <c:v>89081.329094169996</c:v>
                </c:pt>
                <c:pt idx="22">
                  <c:v>89081.329094169996</c:v>
                </c:pt>
                <c:pt idx="23">
                  <c:v>89081.329094169996</c:v>
                </c:pt>
                <c:pt idx="24">
                  <c:v>89081.329094169996</c:v>
                </c:pt>
                <c:pt idx="25">
                  <c:v>89081.329094169996</c:v>
                </c:pt>
                <c:pt idx="26">
                  <c:v>89081.329094169996</c:v>
                </c:pt>
                <c:pt idx="27">
                  <c:v>89081.329094169996</c:v>
                </c:pt>
                <c:pt idx="28">
                  <c:v>89081.329094169996</c:v>
                </c:pt>
                <c:pt idx="29">
                  <c:v>89081.329094169996</c:v>
                </c:pt>
                <c:pt idx="30">
                  <c:v>89081.329094169996</c:v>
                </c:pt>
                <c:pt idx="31">
                  <c:v>89081.329094169996</c:v>
                </c:pt>
                <c:pt idx="32">
                  <c:v>89081.329094169996</c:v>
                </c:pt>
                <c:pt idx="33">
                  <c:v>89081.329094169996</c:v>
                </c:pt>
                <c:pt idx="34">
                  <c:v>89081.329094169996</c:v>
                </c:pt>
                <c:pt idx="35">
                  <c:v>89081.329094169996</c:v>
                </c:pt>
                <c:pt idx="36">
                  <c:v>89081.329094169996</c:v>
                </c:pt>
                <c:pt idx="37">
                  <c:v>89081.329094169996</c:v>
                </c:pt>
                <c:pt idx="38">
                  <c:v>89081.329094169996</c:v>
                </c:pt>
                <c:pt idx="39">
                  <c:v>89081.329094169996</c:v>
                </c:pt>
                <c:pt idx="40">
                  <c:v>89081.329094169996</c:v>
                </c:pt>
                <c:pt idx="41">
                  <c:v>89081.329094169996</c:v>
                </c:pt>
                <c:pt idx="42">
                  <c:v>89565.036491880004</c:v>
                </c:pt>
                <c:pt idx="43">
                  <c:v>96064.251200040002</c:v>
                </c:pt>
                <c:pt idx="44">
                  <c:v>96064.251200040002</c:v>
                </c:pt>
                <c:pt idx="45">
                  <c:v>96064.251200040002</c:v>
                </c:pt>
                <c:pt idx="46">
                  <c:v>96064.251200040002</c:v>
                </c:pt>
                <c:pt idx="47">
                  <c:v>96064.251200040002</c:v>
                </c:pt>
                <c:pt idx="48">
                  <c:v>96064.251200040002</c:v>
                </c:pt>
                <c:pt idx="49">
                  <c:v>96064.251200040002</c:v>
                </c:pt>
                <c:pt idx="50">
                  <c:v>96064.251200040002</c:v>
                </c:pt>
                <c:pt idx="51">
                  <c:v>96064.251200040002</c:v>
                </c:pt>
                <c:pt idx="52">
                  <c:v>96064.251200040002</c:v>
                </c:pt>
                <c:pt idx="53">
                  <c:v>96064.251200040002</c:v>
                </c:pt>
                <c:pt idx="54">
                  <c:v>96064.251200040002</c:v>
                </c:pt>
                <c:pt idx="55">
                  <c:v>96064.251200040002</c:v>
                </c:pt>
                <c:pt idx="56">
                  <c:v>96064.251200040002</c:v>
                </c:pt>
                <c:pt idx="57">
                  <c:v>96064.251200040002</c:v>
                </c:pt>
                <c:pt idx="58">
                  <c:v>96064.251200040002</c:v>
                </c:pt>
                <c:pt idx="59">
                  <c:v>96064.251200040002</c:v>
                </c:pt>
                <c:pt idx="60">
                  <c:v>95737.849642450004</c:v>
                </c:pt>
                <c:pt idx="61">
                  <c:v>95737.849642450004</c:v>
                </c:pt>
                <c:pt idx="62">
                  <c:v>95737.849642450004</c:v>
                </c:pt>
                <c:pt idx="63">
                  <c:v>95737.849642450004</c:v>
                </c:pt>
                <c:pt idx="64">
                  <c:v>95737.849642450004</c:v>
                </c:pt>
                <c:pt idx="65">
                  <c:v>95737.849642450004</c:v>
                </c:pt>
                <c:pt idx="66">
                  <c:v>95737.849642450004</c:v>
                </c:pt>
                <c:pt idx="67">
                  <c:v>95737.849642450004</c:v>
                </c:pt>
                <c:pt idx="68">
                  <c:v>95737.849642450004</c:v>
                </c:pt>
                <c:pt idx="69">
                  <c:v>95737.849642450004</c:v>
                </c:pt>
                <c:pt idx="70">
                  <c:v>95737.849642450004</c:v>
                </c:pt>
                <c:pt idx="71">
                  <c:v>95737.849642450004</c:v>
                </c:pt>
                <c:pt idx="72">
                  <c:v>95737.849642450004</c:v>
                </c:pt>
                <c:pt idx="73">
                  <c:v>95737.849642450004</c:v>
                </c:pt>
                <c:pt idx="74">
                  <c:v>95737.849642450004</c:v>
                </c:pt>
                <c:pt idx="75">
                  <c:v>95737.849642450004</c:v>
                </c:pt>
                <c:pt idx="76">
                  <c:v>95737.849642450004</c:v>
                </c:pt>
                <c:pt idx="77">
                  <c:v>95737.849642450004</c:v>
                </c:pt>
                <c:pt idx="78">
                  <c:v>95737.849642450004</c:v>
                </c:pt>
                <c:pt idx="79">
                  <c:v>95737.849642450004</c:v>
                </c:pt>
                <c:pt idx="80">
                  <c:v>95737.849642450004</c:v>
                </c:pt>
                <c:pt idx="81">
                  <c:v>95737.849642450004</c:v>
                </c:pt>
                <c:pt idx="82">
                  <c:v>90307.820875429999</c:v>
                </c:pt>
                <c:pt idx="83">
                  <c:v>90307.820875429999</c:v>
                </c:pt>
                <c:pt idx="84">
                  <c:v>90307.820875429999</c:v>
                </c:pt>
                <c:pt idx="85">
                  <c:v>90307.820875429999</c:v>
                </c:pt>
                <c:pt idx="86">
                  <c:v>90307.820875429999</c:v>
                </c:pt>
                <c:pt idx="87">
                  <c:v>90307.820875429999</c:v>
                </c:pt>
                <c:pt idx="88">
                  <c:v>90307.820875429999</c:v>
                </c:pt>
                <c:pt idx="89">
                  <c:v>70787.967077630004</c:v>
                </c:pt>
                <c:pt idx="90">
                  <c:v>70787.967077630004</c:v>
                </c:pt>
                <c:pt idx="91">
                  <c:v>70787.967077630004</c:v>
                </c:pt>
                <c:pt idx="92">
                  <c:v>70787.967077630004</c:v>
                </c:pt>
                <c:pt idx="93">
                  <c:v>70787.967077630004</c:v>
                </c:pt>
                <c:pt idx="94">
                  <c:v>70787.967077630004</c:v>
                </c:pt>
                <c:pt idx="95">
                  <c:v>70787.967077630004</c:v>
                </c:pt>
                <c:pt idx="96">
                  <c:v>70787.967077630004</c:v>
                </c:pt>
                <c:pt idx="97">
                  <c:v>70787.967077630004</c:v>
                </c:pt>
                <c:pt idx="98">
                  <c:v>70787.967077630004</c:v>
                </c:pt>
              </c:numCache>
            </c:numRef>
          </c:val>
        </c:ser>
        <c:marker val="1"/>
        <c:axId val="47490176"/>
        <c:axId val="47491712"/>
      </c:lineChart>
      <c:catAx>
        <c:axId val="47490176"/>
        <c:scaling>
          <c:orientation val="minMax"/>
        </c:scaling>
        <c:axPos val="b"/>
        <c:majorTickMark val="none"/>
        <c:tickLblPos val="nextTo"/>
        <c:crossAx val="47491712"/>
        <c:crosses val="autoZero"/>
        <c:auto val="1"/>
        <c:lblAlgn val="ctr"/>
        <c:lblOffset val="100"/>
      </c:catAx>
      <c:valAx>
        <c:axId val="47491712"/>
        <c:scaling>
          <c:orientation val="minMax"/>
        </c:scaling>
        <c:axPos val="l"/>
        <c:majorGridlines/>
        <c:title/>
        <c:numFmt formatCode="General" sourceLinked="1"/>
        <c:majorTickMark val="none"/>
        <c:tickLblPos val="nextTo"/>
        <c:crossAx val="47490176"/>
        <c:crosses val="autoZero"/>
        <c:crossBetween val="between"/>
      </c:valAx>
    </c:plotArea>
    <c:legend>
      <c:legendPos val="r"/>
    </c:legend>
    <c:plotVisOnly val="1"/>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Maverick</a:t>
            </a:r>
          </a:p>
        </c:rich>
      </c:tx>
    </c:title>
    <c:plotArea>
      <c:layout/>
      <c:lineChart>
        <c:grouping val="standard"/>
        <c:ser>
          <c:idx val="1"/>
          <c:order val="0"/>
          <c:tx>
            <c:strRef>
              <c:f>percentiles_mse!$D$2</c:f>
              <c:strCache>
                <c:ptCount val="1"/>
                <c:pt idx="0">
                  <c:v>MSE Market Value</c:v>
                </c:pt>
              </c:strCache>
            </c:strRef>
          </c:tx>
          <c:marker>
            <c:symbol val="none"/>
          </c:marker>
          <c:val>
            <c:numRef>
              <c:f>percentiles_mse!$D$3:$D$101</c:f>
              <c:numCache>
                <c:formatCode>General</c:formatCode>
                <c:ptCount val="99"/>
                <c:pt idx="0">
                  <c:v>1098171629.3399999</c:v>
                </c:pt>
                <c:pt idx="1">
                  <c:v>1098171629.3399999</c:v>
                </c:pt>
                <c:pt idx="2">
                  <c:v>1098171629.3399999</c:v>
                </c:pt>
                <c:pt idx="3">
                  <c:v>1098171629.3399999</c:v>
                </c:pt>
                <c:pt idx="4">
                  <c:v>1098171629.3399999</c:v>
                </c:pt>
                <c:pt idx="5">
                  <c:v>1098171629.3399999</c:v>
                </c:pt>
                <c:pt idx="6">
                  <c:v>1098171629.3399999</c:v>
                </c:pt>
                <c:pt idx="7">
                  <c:v>1098171629.3399999</c:v>
                </c:pt>
                <c:pt idx="8">
                  <c:v>1098171629.3399999</c:v>
                </c:pt>
                <c:pt idx="9">
                  <c:v>1098171629.3399999</c:v>
                </c:pt>
                <c:pt idx="10">
                  <c:v>1098171629.3399999</c:v>
                </c:pt>
                <c:pt idx="11">
                  <c:v>1098171629.3399999</c:v>
                </c:pt>
                <c:pt idx="12">
                  <c:v>1098171629.3399999</c:v>
                </c:pt>
                <c:pt idx="13">
                  <c:v>1098171629.3399999</c:v>
                </c:pt>
                <c:pt idx="14">
                  <c:v>1098171629.3399999</c:v>
                </c:pt>
                <c:pt idx="15">
                  <c:v>1098171629.3399999</c:v>
                </c:pt>
                <c:pt idx="16">
                  <c:v>1098171629.3399999</c:v>
                </c:pt>
                <c:pt idx="17">
                  <c:v>1098171629.3399999</c:v>
                </c:pt>
                <c:pt idx="18">
                  <c:v>1098171629.3399999</c:v>
                </c:pt>
                <c:pt idx="19">
                  <c:v>1098171629.3399999</c:v>
                </c:pt>
                <c:pt idx="20">
                  <c:v>1098171629.3399999</c:v>
                </c:pt>
                <c:pt idx="21">
                  <c:v>1098171629.3399999</c:v>
                </c:pt>
                <c:pt idx="22">
                  <c:v>1098171629.3399999</c:v>
                </c:pt>
                <c:pt idx="23">
                  <c:v>1098171629.3399999</c:v>
                </c:pt>
                <c:pt idx="24">
                  <c:v>1098171629.3399999</c:v>
                </c:pt>
                <c:pt idx="25">
                  <c:v>1098171629.3399999</c:v>
                </c:pt>
                <c:pt idx="26">
                  <c:v>1098171629.3399999</c:v>
                </c:pt>
                <c:pt idx="27">
                  <c:v>1098171629.3399999</c:v>
                </c:pt>
                <c:pt idx="28">
                  <c:v>1098171629.3399999</c:v>
                </c:pt>
                <c:pt idx="29">
                  <c:v>1098171629.3399999</c:v>
                </c:pt>
                <c:pt idx="30">
                  <c:v>1098171629.3399999</c:v>
                </c:pt>
                <c:pt idx="31">
                  <c:v>1098171629.3399999</c:v>
                </c:pt>
                <c:pt idx="32">
                  <c:v>1098171629.3399999</c:v>
                </c:pt>
                <c:pt idx="33">
                  <c:v>1098171629.3399999</c:v>
                </c:pt>
                <c:pt idx="34">
                  <c:v>1098171629.3399999</c:v>
                </c:pt>
                <c:pt idx="35">
                  <c:v>1203540666.5380001</c:v>
                </c:pt>
                <c:pt idx="36">
                  <c:v>1203540666.5380001</c:v>
                </c:pt>
                <c:pt idx="37">
                  <c:v>1203540666.5380001</c:v>
                </c:pt>
                <c:pt idx="38">
                  <c:v>1203540666.5380001</c:v>
                </c:pt>
                <c:pt idx="39">
                  <c:v>1203540666.5380001</c:v>
                </c:pt>
                <c:pt idx="40">
                  <c:v>1203540666.5380001</c:v>
                </c:pt>
                <c:pt idx="41">
                  <c:v>1203540666.5380001</c:v>
                </c:pt>
                <c:pt idx="42">
                  <c:v>1203540666.5380001</c:v>
                </c:pt>
                <c:pt idx="43">
                  <c:v>1203540666.5380001</c:v>
                </c:pt>
                <c:pt idx="44">
                  <c:v>1203540666.5380001</c:v>
                </c:pt>
                <c:pt idx="45">
                  <c:v>1203540666.5380001</c:v>
                </c:pt>
                <c:pt idx="46">
                  <c:v>1203540666.5380001</c:v>
                </c:pt>
                <c:pt idx="47">
                  <c:v>1203540666.5380001</c:v>
                </c:pt>
                <c:pt idx="48">
                  <c:v>1296174277.4590001</c:v>
                </c:pt>
                <c:pt idx="49">
                  <c:v>1296174277.4590001</c:v>
                </c:pt>
                <c:pt idx="50">
                  <c:v>1296174277.4590001</c:v>
                </c:pt>
                <c:pt idx="51">
                  <c:v>1296174277.4590001</c:v>
                </c:pt>
                <c:pt idx="52">
                  <c:v>1296174277.4590001</c:v>
                </c:pt>
                <c:pt idx="53">
                  <c:v>1296174277.4590001</c:v>
                </c:pt>
                <c:pt idx="54">
                  <c:v>1296174277.4590001</c:v>
                </c:pt>
                <c:pt idx="55">
                  <c:v>1296174277.4590001</c:v>
                </c:pt>
                <c:pt idx="56">
                  <c:v>1296174277.4590001</c:v>
                </c:pt>
                <c:pt idx="57">
                  <c:v>1296174277.4590001</c:v>
                </c:pt>
                <c:pt idx="58">
                  <c:v>1296174277.4590001</c:v>
                </c:pt>
                <c:pt idx="59">
                  <c:v>1296174277.4590001</c:v>
                </c:pt>
                <c:pt idx="60">
                  <c:v>1296174277.4590001</c:v>
                </c:pt>
                <c:pt idx="61">
                  <c:v>1296174277.4590001</c:v>
                </c:pt>
                <c:pt idx="62">
                  <c:v>1296174277.4590001</c:v>
                </c:pt>
                <c:pt idx="63">
                  <c:v>1296174277.4590001</c:v>
                </c:pt>
                <c:pt idx="64">
                  <c:v>1296174277.4590001</c:v>
                </c:pt>
                <c:pt idx="65">
                  <c:v>1296174277.4590001</c:v>
                </c:pt>
                <c:pt idx="66">
                  <c:v>1296174277.4590001</c:v>
                </c:pt>
                <c:pt idx="67">
                  <c:v>1296174277.4590001</c:v>
                </c:pt>
                <c:pt idx="68">
                  <c:v>1296174277.4590001</c:v>
                </c:pt>
                <c:pt idx="69">
                  <c:v>1296174277.4590001</c:v>
                </c:pt>
                <c:pt idx="70">
                  <c:v>1296174277.4590001</c:v>
                </c:pt>
                <c:pt idx="71">
                  <c:v>1296174277.4590001</c:v>
                </c:pt>
                <c:pt idx="72">
                  <c:v>1296174277.4590001</c:v>
                </c:pt>
                <c:pt idx="73">
                  <c:v>1296174277.4590001</c:v>
                </c:pt>
                <c:pt idx="74">
                  <c:v>1296174277.4590001</c:v>
                </c:pt>
                <c:pt idx="75">
                  <c:v>1295880067.5910001</c:v>
                </c:pt>
                <c:pt idx="76">
                  <c:v>1293783958.9760001</c:v>
                </c:pt>
                <c:pt idx="77">
                  <c:v>1293783958.9760001</c:v>
                </c:pt>
                <c:pt idx="78">
                  <c:v>1293783958.9760001</c:v>
                </c:pt>
                <c:pt idx="79">
                  <c:v>1293783958.9760001</c:v>
                </c:pt>
                <c:pt idx="80">
                  <c:v>1294855458.684</c:v>
                </c:pt>
                <c:pt idx="81">
                  <c:v>1297338066.069</c:v>
                </c:pt>
                <c:pt idx="82">
                  <c:v>1297338066.069</c:v>
                </c:pt>
                <c:pt idx="83">
                  <c:v>1297338066.069</c:v>
                </c:pt>
                <c:pt idx="84">
                  <c:v>1297338066.069</c:v>
                </c:pt>
                <c:pt idx="85">
                  <c:v>1297338066.069</c:v>
                </c:pt>
                <c:pt idx="86">
                  <c:v>1297338066.069</c:v>
                </c:pt>
                <c:pt idx="87">
                  <c:v>1330695675.7049999</c:v>
                </c:pt>
                <c:pt idx="88">
                  <c:v>1330695675.7049999</c:v>
                </c:pt>
                <c:pt idx="89">
                  <c:v>1330695675.7049999</c:v>
                </c:pt>
                <c:pt idx="90">
                  <c:v>1330695675.7049999</c:v>
                </c:pt>
                <c:pt idx="91">
                  <c:v>1330695675.7049999</c:v>
                </c:pt>
                <c:pt idx="92">
                  <c:v>1330695675.7049999</c:v>
                </c:pt>
                <c:pt idx="93">
                  <c:v>1369739155.7349999</c:v>
                </c:pt>
                <c:pt idx="94">
                  <c:v>1369739155.7349999</c:v>
                </c:pt>
                <c:pt idx="95">
                  <c:v>1369739155.7349999</c:v>
                </c:pt>
                <c:pt idx="96">
                  <c:v>1369739155.7349999</c:v>
                </c:pt>
                <c:pt idx="97">
                  <c:v>1369739155.7349999</c:v>
                </c:pt>
                <c:pt idx="98">
                  <c:v>1369739155.7349999</c:v>
                </c:pt>
              </c:numCache>
            </c:numRef>
          </c:val>
        </c:ser>
        <c:marker val="1"/>
        <c:axId val="96144000"/>
        <c:axId val="96162176"/>
      </c:lineChart>
      <c:catAx>
        <c:axId val="96144000"/>
        <c:scaling>
          <c:orientation val="minMax"/>
        </c:scaling>
        <c:axPos val="b"/>
        <c:majorTickMark val="none"/>
        <c:tickLblPos val="nextTo"/>
        <c:crossAx val="96162176"/>
        <c:crosses val="autoZero"/>
        <c:auto val="1"/>
        <c:lblAlgn val="ctr"/>
        <c:lblOffset val="100"/>
      </c:catAx>
      <c:valAx>
        <c:axId val="96162176"/>
        <c:scaling>
          <c:orientation val="minMax"/>
        </c:scaling>
        <c:axPos val="l"/>
        <c:majorGridlines/>
        <c:title/>
        <c:numFmt formatCode="General" sourceLinked="1"/>
        <c:majorTickMark val="none"/>
        <c:tickLblPos val="nextTo"/>
        <c:crossAx val="96144000"/>
        <c:crosses val="autoZero"/>
        <c:crossBetween val="between"/>
      </c:valAx>
    </c:plotArea>
    <c:legend>
      <c:legendPos val="r"/>
    </c:legend>
    <c:plotVisOnly val="1"/>
  </c:chart>
  <c:printSettings>
    <c:headerFooter/>
    <c:pageMargins b="0.75000000000000078" l="0.70000000000000062" r="0.70000000000000062" t="0.750000000000000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Starr</a:t>
            </a:r>
          </a:p>
        </c:rich>
      </c:tx>
    </c:title>
    <c:plotArea>
      <c:layout/>
      <c:lineChart>
        <c:grouping val="standard"/>
        <c:ser>
          <c:idx val="0"/>
          <c:order val="0"/>
          <c:tx>
            <c:strRef>
              <c:f>percentiles_mse!$G$2</c:f>
              <c:strCache>
                <c:ptCount val="1"/>
                <c:pt idx="0">
                  <c:v>MSE Market Value</c:v>
                </c:pt>
              </c:strCache>
            </c:strRef>
          </c:tx>
          <c:marker>
            <c:symbol val="none"/>
          </c:marker>
          <c:val>
            <c:numRef>
              <c:f>percentiles_mse!$G$3:$G$101</c:f>
              <c:numCache>
                <c:formatCode>General</c:formatCode>
                <c:ptCount val="99"/>
                <c:pt idx="0">
                  <c:v>664797298.51750004</c:v>
                </c:pt>
                <c:pt idx="1">
                  <c:v>664797298.51750004</c:v>
                </c:pt>
                <c:pt idx="2">
                  <c:v>664797298.51750004</c:v>
                </c:pt>
                <c:pt idx="3">
                  <c:v>664797298.51750004</c:v>
                </c:pt>
                <c:pt idx="4">
                  <c:v>664797298.51750004</c:v>
                </c:pt>
                <c:pt idx="5">
                  <c:v>664797298.51750004</c:v>
                </c:pt>
                <c:pt idx="6">
                  <c:v>664797298.51750004</c:v>
                </c:pt>
                <c:pt idx="7">
                  <c:v>664797298.51750004</c:v>
                </c:pt>
                <c:pt idx="8">
                  <c:v>664797298.51750004</c:v>
                </c:pt>
                <c:pt idx="9">
                  <c:v>664797298.51750004</c:v>
                </c:pt>
                <c:pt idx="10">
                  <c:v>664797298.51750004</c:v>
                </c:pt>
                <c:pt idx="11">
                  <c:v>664797298.51750004</c:v>
                </c:pt>
                <c:pt idx="12">
                  <c:v>664797298.51750004</c:v>
                </c:pt>
                <c:pt idx="13">
                  <c:v>664797298.51750004</c:v>
                </c:pt>
                <c:pt idx="14">
                  <c:v>664797298.51750004</c:v>
                </c:pt>
                <c:pt idx="15">
                  <c:v>556279926.75329995</c:v>
                </c:pt>
                <c:pt idx="16">
                  <c:v>556279926.75329995</c:v>
                </c:pt>
                <c:pt idx="17">
                  <c:v>556279926.75329995</c:v>
                </c:pt>
                <c:pt idx="18">
                  <c:v>556279926.75329995</c:v>
                </c:pt>
                <c:pt idx="19">
                  <c:v>556279926.75329995</c:v>
                </c:pt>
                <c:pt idx="20">
                  <c:v>556279926.75329995</c:v>
                </c:pt>
                <c:pt idx="21">
                  <c:v>556279926.75329995</c:v>
                </c:pt>
                <c:pt idx="22">
                  <c:v>556279926.75329995</c:v>
                </c:pt>
                <c:pt idx="23">
                  <c:v>556279926.75329995</c:v>
                </c:pt>
                <c:pt idx="24">
                  <c:v>556279926.75329995</c:v>
                </c:pt>
                <c:pt idx="25">
                  <c:v>556279926.75329995</c:v>
                </c:pt>
                <c:pt idx="26">
                  <c:v>556279926.75329995</c:v>
                </c:pt>
                <c:pt idx="27">
                  <c:v>556279926.75329995</c:v>
                </c:pt>
                <c:pt idx="28">
                  <c:v>556279926.75329995</c:v>
                </c:pt>
                <c:pt idx="29">
                  <c:v>556279926.75329995</c:v>
                </c:pt>
                <c:pt idx="30">
                  <c:v>556279926.75329995</c:v>
                </c:pt>
                <c:pt idx="31">
                  <c:v>556279926.75329995</c:v>
                </c:pt>
                <c:pt idx="32">
                  <c:v>556279926.75329995</c:v>
                </c:pt>
                <c:pt idx="33">
                  <c:v>556279926.75329995</c:v>
                </c:pt>
                <c:pt idx="34">
                  <c:v>556279926.75329995</c:v>
                </c:pt>
                <c:pt idx="35">
                  <c:v>556279926.75329995</c:v>
                </c:pt>
                <c:pt idx="36">
                  <c:v>556279926.75329995</c:v>
                </c:pt>
                <c:pt idx="37">
                  <c:v>556279926.75329995</c:v>
                </c:pt>
                <c:pt idx="38">
                  <c:v>556279926.75329995</c:v>
                </c:pt>
                <c:pt idx="39">
                  <c:v>556279926.75329995</c:v>
                </c:pt>
                <c:pt idx="40">
                  <c:v>556279926.75329995</c:v>
                </c:pt>
                <c:pt idx="41">
                  <c:v>556279926.75329995</c:v>
                </c:pt>
                <c:pt idx="42">
                  <c:v>556279926.75329995</c:v>
                </c:pt>
                <c:pt idx="43">
                  <c:v>550424826.40369999</c:v>
                </c:pt>
                <c:pt idx="44">
                  <c:v>513969215.2112</c:v>
                </c:pt>
                <c:pt idx="45">
                  <c:v>513969215.2112</c:v>
                </c:pt>
                <c:pt idx="46">
                  <c:v>513969215.2112</c:v>
                </c:pt>
                <c:pt idx="47">
                  <c:v>513969215.2112</c:v>
                </c:pt>
                <c:pt idx="48">
                  <c:v>513969215.2112</c:v>
                </c:pt>
                <c:pt idx="49">
                  <c:v>513969215.2112</c:v>
                </c:pt>
                <c:pt idx="50">
                  <c:v>513969215.2112</c:v>
                </c:pt>
                <c:pt idx="51">
                  <c:v>513969215.2112</c:v>
                </c:pt>
                <c:pt idx="52">
                  <c:v>513969215.2112</c:v>
                </c:pt>
                <c:pt idx="53">
                  <c:v>513969215.2112</c:v>
                </c:pt>
                <c:pt idx="54">
                  <c:v>513969215.2112</c:v>
                </c:pt>
                <c:pt idx="55">
                  <c:v>513969215.2112</c:v>
                </c:pt>
                <c:pt idx="56">
                  <c:v>513969215.2112</c:v>
                </c:pt>
                <c:pt idx="57">
                  <c:v>513969215.2112</c:v>
                </c:pt>
                <c:pt idx="58">
                  <c:v>513969215.2112</c:v>
                </c:pt>
                <c:pt idx="59">
                  <c:v>513969215.2112</c:v>
                </c:pt>
                <c:pt idx="60">
                  <c:v>513969215.2112</c:v>
                </c:pt>
                <c:pt idx="61">
                  <c:v>513969215.2112</c:v>
                </c:pt>
                <c:pt idx="62">
                  <c:v>513969215.2112</c:v>
                </c:pt>
                <c:pt idx="63">
                  <c:v>483379663.38870001</c:v>
                </c:pt>
                <c:pt idx="64">
                  <c:v>454325936.9788</c:v>
                </c:pt>
                <c:pt idx="65">
                  <c:v>454325936.9788</c:v>
                </c:pt>
                <c:pt idx="66">
                  <c:v>452435738.35350001</c:v>
                </c:pt>
                <c:pt idx="67">
                  <c:v>448727845.96700001</c:v>
                </c:pt>
                <c:pt idx="68">
                  <c:v>448727845.96700001</c:v>
                </c:pt>
                <c:pt idx="69">
                  <c:v>448727845.96700001</c:v>
                </c:pt>
                <c:pt idx="70">
                  <c:v>448727845.96700001</c:v>
                </c:pt>
                <c:pt idx="71">
                  <c:v>448727845.96700001</c:v>
                </c:pt>
                <c:pt idx="72">
                  <c:v>448727845.96700001</c:v>
                </c:pt>
                <c:pt idx="73">
                  <c:v>448727845.96700001</c:v>
                </c:pt>
                <c:pt idx="74">
                  <c:v>448727845.96700001</c:v>
                </c:pt>
                <c:pt idx="75">
                  <c:v>448727845.96700001</c:v>
                </c:pt>
                <c:pt idx="76">
                  <c:v>448727845.96700001</c:v>
                </c:pt>
                <c:pt idx="77">
                  <c:v>448727845.96700001</c:v>
                </c:pt>
                <c:pt idx="78">
                  <c:v>448727845.96700001</c:v>
                </c:pt>
                <c:pt idx="79">
                  <c:v>448727845.96700001</c:v>
                </c:pt>
                <c:pt idx="80">
                  <c:v>448727845.96700001</c:v>
                </c:pt>
                <c:pt idx="81">
                  <c:v>442350839.3592</c:v>
                </c:pt>
                <c:pt idx="82">
                  <c:v>422865974.64560002</c:v>
                </c:pt>
                <c:pt idx="83">
                  <c:v>422865974.64560002</c:v>
                </c:pt>
                <c:pt idx="84">
                  <c:v>422865974.64560002</c:v>
                </c:pt>
                <c:pt idx="85">
                  <c:v>422865974.64560002</c:v>
                </c:pt>
                <c:pt idx="86">
                  <c:v>420685223.11430001</c:v>
                </c:pt>
                <c:pt idx="87">
                  <c:v>408411407.73449999</c:v>
                </c:pt>
                <c:pt idx="88">
                  <c:v>408411407.73449999</c:v>
                </c:pt>
                <c:pt idx="89">
                  <c:v>408411407.73449999</c:v>
                </c:pt>
                <c:pt idx="90">
                  <c:v>408411407.73449999</c:v>
                </c:pt>
                <c:pt idx="91">
                  <c:v>396283783.42140001</c:v>
                </c:pt>
                <c:pt idx="92">
                  <c:v>381712576.99699998</c:v>
                </c:pt>
                <c:pt idx="93">
                  <c:v>381712576.99699998</c:v>
                </c:pt>
                <c:pt idx="94">
                  <c:v>381712576.99699998</c:v>
                </c:pt>
                <c:pt idx="95">
                  <c:v>381712576.99699998</c:v>
                </c:pt>
                <c:pt idx="96">
                  <c:v>381465479.85290003</c:v>
                </c:pt>
                <c:pt idx="97">
                  <c:v>376636793.26239997</c:v>
                </c:pt>
                <c:pt idx="98">
                  <c:v>376636793.26239997</c:v>
                </c:pt>
              </c:numCache>
            </c:numRef>
          </c:val>
        </c:ser>
        <c:marker val="1"/>
        <c:axId val="96186752"/>
        <c:axId val="96188288"/>
      </c:lineChart>
      <c:catAx>
        <c:axId val="96186752"/>
        <c:scaling>
          <c:orientation val="minMax"/>
        </c:scaling>
        <c:axPos val="b"/>
        <c:majorTickMark val="none"/>
        <c:tickLblPos val="nextTo"/>
        <c:crossAx val="96188288"/>
        <c:crosses val="autoZero"/>
        <c:auto val="1"/>
        <c:lblAlgn val="ctr"/>
        <c:lblOffset val="100"/>
      </c:catAx>
      <c:valAx>
        <c:axId val="96188288"/>
        <c:scaling>
          <c:orientation val="minMax"/>
        </c:scaling>
        <c:axPos val="l"/>
        <c:majorGridlines/>
        <c:numFmt formatCode="General" sourceLinked="1"/>
        <c:majorTickMark val="none"/>
        <c:tickLblPos val="nextTo"/>
        <c:spPr>
          <a:ln w="9525">
            <a:noFill/>
          </a:ln>
        </c:spPr>
        <c:crossAx val="96186752"/>
        <c:crosses val="autoZero"/>
        <c:crossBetween val="between"/>
      </c:valAx>
    </c:plotArea>
    <c:legend>
      <c:legendPos val="b"/>
    </c:legend>
    <c:plotVisOnly val="1"/>
  </c:chart>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a:t>El Paso</a:t>
            </a:r>
          </a:p>
        </c:rich>
      </c:tx>
    </c:title>
    <c:plotArea>
      <c:layout/>
      <c:lineChart>
        <c:grouping val="standard"/>
        <c:ser>
          <c:idx val="0"/>
          <c:order val="0"/>
          <c:tx>
            <c:strRef>
              <c:f>percentiles_mse!$J$2</c:f>
              <c:strCache>
                <c:ptCount val="1"/>
                <c:pt idx="0">
                  <c:v>MSE Market Value</c:v>
                </c:pt>
              </c:strCache>
            </c:strRef>
          </c:tx>
          <c:marker>
            <c:symbol val="none"/>
          </c:marker>
          <c:val>
            <c:numRef>
              <c:f>percentiles_mse!$J$3:$J$101</c:f>
              <c:numCache>
                <c:formatCode>General</c:formatCode>
                <c:ptCount val="99"/>
                <c:pt idx="0">
                  <c:v>704163912.18700004</c:v>
                </c:pt>
                <c:pt idx="1">
                  <c:v>704163912.18700004</c:v>
                </c:pt>
                <c:pt idx="2">
                  <c:v>704163912.18700004</c:v>
                </c:pt>
                <c:pt idx="3">
                  <c:v>704163912.18700004</c:v>
                </c:pt>
                <c:pt idx="4">
                  <c:v>704163912.18700004</c:v>
                </c:pt>
                <c:pt idx="5">
                  <c:v>704163912.18700004</c:v>
                </c:pt>
                <c:pt idx="6">
                  <c:v>704163912.18700004</c:v>
                </c:pt>
                <c:pt idx="7">
                  <c:v>704163912.18700004</c:v>
                </c:pt>
                <c:pt idx="8">
                  <c:v>704163912.18700004</c:v>
                </c:pt>
                <c:pt idx="9">
                  <c:v>704163912.18700004</c:v>
                </c:pt>
                <c:pt idx="10">
                  <c:v>704163912.18700004</c:v>
                </c:pt>
                <c:pt idx="11">
                  <c:v>704163912.18700004</c:v>
                </c:pt>
                <c:pt idx="12">
                  <c:v>704163912.18700004</c:v>
                </c:pt>
                <c:pt idx="13">
                  <c:v>704163912.18700004</c:v>
                </c:pt>
                <c:pt idx="14">
                  <c:v>704163912.18700004</c:v>
                </c:pt>
                <c:pt idx="15">
                  <c:v>704163912.18700004</c:v>
                </c:pt>
                <c:pt idx="16">
                  <c:v>704163912.18700004</c:v>
                </c:pt>
                <c:pt idx="17">
                  <c:v>704163912.18700004</c:v>
                </c:pt>
                <c:pt idx="18">
                  <c:v>704163912.18700004</c:v>
                </c:pt>
                <c:pt idx="19">
                  <c:v>704163912.18700004</c:v>
                </c:pt>
                <c:pt idx="20">
                  <c:v>704163912.18700004</c:v>
                </c:pt>
                <c:pt idx="21">
                  <c:v>704163912.18700004</c:v>
                </c:pt>
                <c:pt idx="22">
                  <c:v>704163912.18700004</c:v>
                </c:pt>
                <c:pt idx="23">
                  <c:v>704163912.18700004</c:v>
                </c:pt>
                <c:pt idx="24">
                  <c:v>704163912.18700004</c:v>
                </c:pt>
                <c:pt idx="25">
                  <c:v>704163912.18700004</c:v>
                </c:pt>
                <c:pt idx="26">
                  <c:v>704163912.18700004</c:v>
                </c:pt>
                <c:pt idx="27">
                  <c:v>704163912.18700004</c:v>
                </c:pt>
                <c:pt idx="28">
                  <c:v>704163912.18700004</c:v>
                </c:pt>
                <c:pt idx="29">
                  <c:v>704163912.18700004</c:v>
                </c:pt>
                <c:pt idx="30">
                  <c:v>704163912.18700004</c:v>
                </c:pt>
                <c:pt idx="31">
                  <c:v>704163912.18700004</c:v>
                </c:pt>
                <c:pt idx="32">
                  <c:v>704163912.18700004</c:v>
                </c:pt>
                <c:pt idx="33">
                  <c:v>704163912.18700004</c:v>
                </c:pt>
                <c:pt idx="34">
                  <c:v>704163912.18700004</c:v>
                </c:pt>
                <c:pt idx="35">
                  <c:v>704163912.18700004</c:v>
                </c:pt>
                <c:pt idx="36">
                  <c:v>704163912.18700004</c:v>
                </c:pt>
                <c:pt idx="37">
                  <c:v>704163912.18700004</c:v>
                </c:pt>
                <c:pt idx="38">
                  <c:v>712322494.26030004</c:v>
                </c:pt>
                <c:pt idx="39">
                  <c:v>712322494.26030004</c:v>
                </c:pt>
                <c:pt idx="40">
                  <c:v>712322494.26030004</c:v>
                </c:pt>
                <c:pt idx="41">
                  <c:v>712322494.26030004</c:v>
                </c:pt>
                <c:pt idx="42">
                  <c:v>712322494.26030004</c:v>
                </c:pt>
                <c:pt idx="43">
                  <c:v>712322494.26030004</c:v>
                </c:pt>
                <c:pt idx="44">
                  <c:v>712322494.26030004</c:v>
                </c:pt>
                <c:pt idx="45">
                  <c:v>712322494.26030004</c:v>
                </c:pt>
                <c:pt idx="46">
                  <c:v>712322494.26030004</c:v>
                </c:pt>
                <c:pt idx="47">
                  <c:v>712322494.26030004</c:v>
                </c:pt>
                <c:pt idx="48">
                  <c:v>712322494.26030004</c:v>
                </c:pt>
                <c:pt idx="49">
                  <c:v>712322494.26030004</c:v>
                </c:pt>
                <c:pt idx="50">
                  <c:v>712322494.26030004</c:v>
                </c:pt>
                <c:pt idx="51">
                  <c:v>712322494.26030004</c:v>
                </c:pt>
                <c:pt idx="52">
                  <c:v>712322494.26030004</c:v>
                </c:pt>
                <c:pt idx="53">
                  <c:v>712322494.26030004</c:v>
                </c:pt>
                <c:pt idx="54">
                  <c:v>771214702.4641</c:v>
                </c:pt>
                <c:pt idx="55">
                  <c:v>771214702.4641</c:v>
                </c:pt>
                <c:pt idx="56">
                  <c:v>771214702.4641</c:v>
                </c:pt>
                <c:pt idx="57">
                  <c:v>771214702.4641</c:v>
                </c:pt>
                <c:pt idx="58">
                  <c:v>771214702.4641</c:v>
                </c:pt>
                <c:pt idx="59">
                  <c:v>771214702.4641</c:v>
                </c:pt>
                <c:pt idx="60">
                  <c:v>771214702.4641</c:v>
                </c:pt>
                <c:pt idx="61">
                  <c:v>771214702.4641</c:v>
                </c:pt>
                <c:pt idx="62">
                  <c:v>771214702.4641</c:v>
                </c:pt>
                <c:pt idx="63">
                  <c:v>771214702.4641</c:v>
                </c:pt>
                <c:pt idx="64">
                  <c:v>781437717.80159998</c:v>
                </c:pt>
                <c:pt idx="65">
                  <c:v>781437717.80159998</c:v>
                </c:pt>
                <c:pt idx="66">
                  <c:v>781437717.80159998</c:v>
                </c:pt>
                <c:pt idx="67">
                  <c:v>781437717.80159998</c:v>
                </c:pt>
                <c:pt idx="68">
                  <c:v>781437717.80159998</c:v>
                </c:pt>
                <c:pt idx="69">
                  <c:v>781437717.80159998</c:v>
                </c:pt>
                <c:pt idx="70">
                  <c:v>816270433.92879999</c:v>
                </c:pt>
                <c:pt idx="71">
                  <c:v>816270433.92879999</c:v>
                </c:pt>
                <c:pt idx="72">
                  <c:v>816270433.92879999</c:v>
                </c:pt>
                <c:pt idx="73">
                  <c:v>816270433.92879999</c:v>
                </c:pt>
                <c:pt idx="74">
                  <c:v>816270433.92879999</c:v>
                </c:pt>
                <c:pt idx="75">
                  <c:v>816270433.92879999</c:v>
                </c:pt>
                <c:pt idx="76">
                  <c:v>815611186.89020002</c:v>
                </c:pt>
                <c:pt idx="77">
                  <c:v>815285926.39649999</c:v>
                </c:pt>
                <c:pt idx="78">
                  <c:v>815285926.39649999</c:v>
                </c:pt>
                <c:pt idx="79">
                  <c:v>815285926.39649999</c:v>
                </c:pt>
                <c:pt idx="80">
                  <c:v>815285926.39649999</c:v>
                </c:pt>
                <c:pt idx="81">
                  <c:v>815285926.39649999</c:v>
                </c:pt>
                <c:pt idx="82">
                  <c:v>811169109.54530001</c:v>
                </c:pt>
                <c:pt idx="83">
                  <c:v>809826939.18570006</c:v>
                </c:pt>
                <c:pt idx="84">
                  <c:v>809826939.18570006</c:v>
                </c:pt>
                <c:pt idx="85">
                  <c:v>809826939.18570006</c:v>
                </c:pt>
                <c:pt idx="86">
                  <c:v>809826939.18570006</c:v>
                </c:pt>
                <c:pt idx="87">
                  <c:v>809826939.18570006</c:v>
                </c:pt>
                <c:pt idx="88">
                  <c:v>809826939.18570006</c:v>
                </c:pt>
                <c:pt idx="89">
                  <c:v>809826939.18570006</c:v>
                </c:pt>
                <c:pt idx="90">
                  <c:v>812856364.88399994</c:v>
                </c:pt>
                <c:pt idx="91">
                  <c:v>812856364.88399994</c:v>
                </c:pt>
                <c:pt idx="92">
                  <c:v>812856364.88399994</c:v>
                </c:pt>
                <c:pt idx="93">
                  <c:v>812856364.88399994</c:v>
                </c:pt>
                <c:pt idx="94">
                  <c:v>824535175.32260001</c:v>
                </c:pt>
                <c:pt idx="95">
                  <c:v>848350585.93299997</c:v>
                </c:pt>
                <c:pt idx="96">
                  <c:v>860742022.33249998</c:v>
                </c:pt>
                <c:pt idx="97">
                  <c:v>860742022.33249998</c:v>
                </c:pt>
                <c:pt idx="98">
                  <c:v>894068927.27419996</c:v>
                </c:pt>
              </c:numCache>
            </c:numRef>
          </c:val>
        </c:ser>
        <c:marker val="1"/>
        <c:axId val="96081024"/>
        <c:axId val="96082560"/>
      </c:lineChart>
      <c:catAx>
        <c:axId val="96081024"/>
        <c:scaling>
          <c:orientation val="minMax"/>
        </c:scaling>
        <c:axPos val="b"/>
        <c:majorTickMark val="none"/>
        <c:tickLblPos val="nextTo"/>
        <c:crossAx val="96082560"/>
        <c:crosses val="autoZero"/>
        <c:auto val="1"/>
        <c:lblAlgn val="ctr"/>
        <c:lblOffset val="100"/>
      </c:catAx>
      <c:valAx>
        <c:axId val="96082560"/>
        <c:scaling>
          <c:orientation val="minMax"/>
        </c:scaling>
        <c:axPos val="l"/>
        <c:majorGridlines/>
        <c:title/>
        <c:numFmt formatCode="General" sourceLinked="1"/>
        <c:majorTickMark val="none"/>
        <c:tickLblPos val="nextTo"/>
        <c:crossAx val="96081024"/>
        <c:crosses val="autoZero"/>
        <c:crossBetween val="between"/>
      </c:valAx>
    </c:plotArea>
    <c:legend>
      <c:legendPos val="r"/>
    </c:legend>
    <c:plotVisOnly val="1"/>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16</xdr:col>
      <xdr:colOff>25400</xdr:colOff>
      <xdr:row>19</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20</xdr:row>
      <xdr:rowOff>38100</xdr:rowOff>
    </xdr:from>
    <xdr:to>
      <xdr:col>16</xdr:col>
      <xdr:colOff>127000</xdr:colOff>
      <xdr:row>34</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63500</xdr:colOff>
      <xdr:row>35</xdr:row>
      <xdr:rowOff>63500</xdr:rowOff>
    </xdr:from>
    <xdr:to>
      <xdr:col>16</xdr:col>
      <xdr:colOff>88900</xdr:colOff>
      <xdr:row>49</xdr:row>
      <xdr:rowOff>139700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63500</xdr:colOff>
      <xdr:row>50</xdr:row>
      <xdr:rowOff>88900</xdr:rowOff>
    </xdr:from>
    <xdr:to>
      <xdr:col>16</xdr:col>
      <xdr:colOff>76200</xdr:colOff>
      <xdr:row>64</xdr:row>
      <xdr:rowOff>165100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76200</xdr:colOff>
      <xdr:row>65</xdr:row>
      <xdr:rowOff>152400</xdr:rowOff>
    </xdr:from>
    <xdr:to>
      <xdr:col>16</xdr:col>
      <xdr:colOff>88900</xdr:colOff>
      <xdr:row>80</xdr:row>
      <xdr:rowOff>38100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113393</xdr:colOff>
      <xdr:row>81</xdr:row>
      <xdr:rowOff>162378</xdr:rowOff>
    </xdr:from>
    <xdr:to>
      <xdr:col>16</xdr:col>
      <xdr:colOff>113393</xdr:colOff>
      <xdr:row>95</xdr:row>
      <xdr:rowOff>187778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190500</xdr:colOff>
      <xdr:row>0</xdr:row>
      <xdr:rowOff>177800</xdr:rowOff>
    </xdr:from>
    <xdr:to>
      <xdr:col>30</xdr:col>
      <xdr:colOff>215900</xdr:colOff>
      <xdr:row>19</xdr:row>
      <xdr:rowOff>127000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228600</xdr:colOff>
      <xdr:row>20</xdr:row>
      <xdr:rowOff>38100</xdr:rowOff>
    </xdr:from>
    <xdr:to>
      <xdr:col>30</xdr:col>
      <xdr:colOff>176893</xdr:colOff>
      <xdr:row>34</xdr:row>
      <xdr:rowOff>114300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258536</xdr:colOff>
      <xdr:row>35</xdr:row>
      <xdr:rowOff>81643</xdr:rowOff>
    </xdr:from>
    <xdr:to>
      <xdr:col>30</xdr:col>
      <xdr:colOff>283936</xdr:colOff>
      <xdr:row>49</xdr:row>
      <xdr:rowOff>157843</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244928</xdr:colOff>
      <xdr:row>50</xdr:row>
      <xdr:rowOff>81643</xdr:rowOff>
    </xdr:from>
    <xdr:to>
      <xdr:col>30</xdr:col>
      <xdr:colOff>257628</xdr:colOff>
      <xdr:row>64</xdr:row>
      <xdr:rowOff>157843</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299357</xdr:colOff>
      <xdr:row>65</xdr:row>
      <xdr:rowOff>149679</xdr:rowOff>
    </xdr:from>
    <xdr:to>
      <xdr:col>30</xdr:col>
      <xdr:colOff>312057</xdr:colOff>
      <xdr:row>80</xdr:row>
      <xdr:rowOff>35379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408214</xdr:colOff>
      <xdr:row>81</xdr:row>
      <xdr:rowOff>122465</xdr:rowOff>
    </xdr:from>
    <xdr:to>
      <xdr:col>30</xdr:col>
      <xdr:colOff>408214</xdr:colOff>
      <xdr:row>95</xdr:row>
      <xdr:rowOff>147865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T26"/>
  <sheetViews>
    <sheetView topLeftCell="B1" zoomScale="75" zoomScaleNormal="75" workbookViewId="0">
      <pane xSplit="18" ySplit="10" topLeftCell="T11" activePane="bottomRight" state="frozen"/>
      <selection activeCell="B1" sqref="B1"/>
      <selection pane="topRight" activeCell="Q1" sqref="Q1"/>
      <selection pane="bottomLeft" activeCell="B3" sqref="B3"/>
      <selection pane="bottomRight" activeCell="I4" sqref="I4"/>
    </sheetView>
  </sheetViews>
  <sheetFormatPr defaultColWidth="19.85546875" defaultRowHeight="15"/>
  <cols>
    <col min="1" max="1" width="15.7109375" customWidth="1"/>
    <col min="2" max="2" width="18.85546875" bestFit="1" customWidth="1"/>
    <col min="4" max="4" width="16" customWidth="1"/>
    <col min="5" max="5" width="10.28515625" bestFit="1" customWidth="1"/>
    <col min="6" max="6" width="19.7109375" customWidth="1"/>
    <col min="7" max="7" width="13.5703125" customWidth="1"/>
    <col min="8" max="8" width="10.28515625" customWidth="1"/>
    <col min="9" max="9" width="11.42578125" bestFit="1" customWidth="1"/>
    <col min="10" max="10" width="11.28515625" customWidth="1"/>
    <col min="11" max="11" width="7.28515625" customWidth="1"/>
    <col min="12" max="12" width="5.85546875" bestFit="1" customWidth="1"/>
    <col min="13" max="13" width="5.85546875" style="4" bestFit="1" customWidth="1"/>
    <col min="14" max="14" width="9.140625" style="4" bestFit="1" customWidth="1"/>
    <col min="15" max="15" width="9.28515625" style="4" customWidth="1"/>
    <col min="16" max="16" width="9.140625" style="4" customWidth="1"/>
    <col min="17" max="17" width="20.140625" customWidth="1"/>
  </cols>
  <sheetData>
    <row r="1" spans="1:19">
      <c r="C1" s="1">
        <f>SUM(Q11:Q25)</f>
        <v>1994.5958783939636</v>
      </c>
    </row>
    <row r="4" spans="1:19" ht="15.75">
      <c r="C4" s="42" t="s">
        <v>113</v>
      </c>
      <c r="D4" s="47" t="s">
        <v>111</v>
      </c>
      <c r="E4" s="38" t="s">
        <v>110</v>
      </c>
      <c r="F4" s="42" t="s">
        <v>112</v>
      </c>
      <c r="G4" s="42" t="s">
        <v>114</v>
      </c>
      <c r="H4" s="43" t="s">
        <v>115</v>
      </c>
    </row>
    <row r="5" spans="1:19" ht="16.5" thickBot="1">
      <c r="B5" t="s">
        <v>109</v>
      </c>
      <c r="C5" s="46">
        <v>1995</v>
      </c>
      <c r="D5" s="40">
        <f>((E5*E5)*(F5*(1-F5)))/(G5*G5)</f>
        <v>384.15999999999991</v>
      </c>
      <c r="E5" s="39">
        <v>1.96</v>
      </c>
      <c r="F5" s="39">
        <v>0.5</v>
      </c>
      <c r="G5" s="39">
        <v>0.05</v>
      </c>
      <c r="H5" s="44">
        <f>(D5)/(1+(D5/C5))</f>
        <v>322.13016358714833</v>
      </c>
    </row>
    <row r="6" spans="1:19" ht="16.5" thickTop="1">
      <c r="B6" t="s">
        <v>1</v>
      </c>
      <c r="C6" s="1">
        <f>SUM(M11:M25)</f>
        <v>1791</v>
      </c>
      <c r="D6" s="41"/>
    </row>
    <row r="7" spans="1:19" ht="15.75">
      <c r="B7" s="3"/>
      <c r="C7" s="37"/>
    </row>
    <row r="8" spans="1:19" ht="15.75" thickBot="1">
      <c r="B8" s="45"/>
      <c r="C8" s="45"/>
    </row>
    <row r="9" spans="1:19" ht="15.75" thickTop="1">
      <c r="A9" s="5"/>
      <c r="B9" s="5"/>
      <c r="C9" s="5"/>
      <c r="D9" s="6"/>
      <c r="E9" s="6"/>
      <c r="F9" s="6"/>
      <c r="G9" s="169" t="s">
        <v>99</v>
      </c>
      <c r="H9" s="171"/>
      <c r="I9" s="169" t="s">
        <v>52</v>
      </c>
      <c r="J9" s="171"/>
      <c r="K9" s="169" t="s">
        <v>53</v>
      </c>
      <c r="L9" s="170"/>
      <c r="M9" s="170"/>
      <c r="N9" s="171"/>
      <c r="O9" s="172" t="s">
        <v>107</v>
      </c>
      <c r="P9" s="173"/>
    </row>
    <row r="10" spans="1:19" ht="45">
      <c r="A10" s="7" t="s">
        <v>54</v>
      </c>
      <c r="B10" s="7" t="s">
        <v>55</v>
      </c>
      <c r="C10" s="7" t="s">
        <v>56</v>
      </c>
      <c r="D10" s="8" t="s">
        <v>57</v>
      </c>
      <c r="E10" s="9" t="s">
        <v>58</v>
      </c>
      <c r="F10" s="9" t="s">
        <v>43</v>
      </c>
      <c r="G10" s="9" t="s">
        <v>100</v>
      </c>
      <c r="H10" s="13" t="s">
        <v>101</v>
      </c>
      <c r="I10" s="10" t="s">
        <v>97</v>
      </c>
      <c r="J10" s="10" t="s">
        <v>59</v>
      </c>
      <c r="K10" s="11">
        <v>1997</v>
      </c>
      <c r="L10" s="12">
        <v>2000</v>
      </c>
      <c r="M10" s="14">
        <v>2010</v>
      </c>
      <c r="N10" s="31" t="s">
        <v>108</v>
      </c>
      <c r="O10" s="30">
        <v>2000</v>
      </c>
      <c r="P10" s="30">
        <v>2010</v>
      </c>
      <c r="Q10" s="15" t="s">
        <v>98</v>
      </c>
      <c r="R10" t="s">
        <v>102</v>
      </c>
      <c r="S10" t="s">
        <v>103</v>
      </c>
    </row>
    <row r="11" spans="1:19" s="22" customFormat="1" ht="18.75" customHeight="1">
      <c r="A11" s="16" t="s">
        <v>60</v>
      </c>
      <c r="B11" s="16" t="s">
        <v>61</v>
      </c>
      <c r="C11" s="16" t="s">
        <v>62</v>
      </c>
      <c r="D11" s="17"/>
      <c r="E11" s="18" t="s">
        <v>63</v>
      </c>
      <c r="F11" s="18">
        <v>1981</v>
      </c>
      <c r="G11" s="18">
        <v>5</v>
      </c>
      <c r="H11" s="18">
        <v>3</v>
      </c>
      <c r="I11" s="19"/>
      <c r="J11" s="19"/>
      <c r="K11" s="19"/>
      <c r="L11" s="19">
        <v>2</v>
      </c>
      <c r="M11" s="32">
        <v>3</v>
      </c>
      <c r="N11" s="34">
        <f>((M11/L11)-1)</f>
        <v>0.5</v>
      </c>
      <c r="O11" s="35">
        <f>H11/G11</f>
        <v>0.6</v>
      </c>
      <c r="P11" s="35">
        <f>(O11*M11)/L11</f>
        <v>0.89999999999999991</v>
      </c>
      <c r="Q11" s="21">
        <f>G11*P11</f>
        <v>4.5</v>
      </c>
    </row>
    <row r="12" spans="1:19" s="27" customFormat="1" ht="18.75" customHeight="1">
      <c r="A12" s="23" t="s">
        <v>60</v>
      </c>
      <c r="B12" s="23" t="s">
        <v>64</v>
      </c>
      <c r="C12" s="23" t="s">
        <v>65</v>
      </c>
      <c r="D12" s="24" t="s">
        <v>66</v>
      </c>
      <c r="E12" s="25" t="s">
        <v>63</v>
      </c>
      <c r="F12" s="25" t="s">
        <v>40</v>
      </c>
      <c r="G12" s="25">
        <v>38</v>
      </c>
      <c r="H12" s="25">
        <v>38</v>
      </c>
      <c r="I12" s="25"/>
      <c r="J12" s="25"/>
      <c r="K12" s="25"/>
      <c r="L12" s="25">
        <v>1</v>
      </c>
      <c r="M12" s="33">
        <v>3</v>
      </c>
      <c r="N12" s="34">
        <f t="shared" ref="N12:N25" si="0">((M12/L12)-1)</f>
        <v>2</v>
      </c>
      <c r="O12" s="36">
        <f t="shared" ref="O12:O25" si="1">H12/G12</f>
        <v>1</v>
      </c>
      <c r="P12" s="36">
        <f t="shared" ref="P12:P25" si="2">(O12*M12)/L12</f>
        <v>3</v>
      </c>
      <c r="Q12" s="26">
        <v>38</v>
      </c>
      <c r="R12" s="27" t="s">
        <v>105</v>
      </c>
      <c r="S12" s="27" t="s">
        <v>104</v>
      </c>
    </row>
    <row r="13" spans="1:19" s="22" customFormat="1" ht="18.75" customHeight="1">
      <c r="A13" s="16" t="s">
        <v>60</v>
      </c>
      <c r="B13" s="16" t="s">
        <v>67</v>
      </c>
      <c r="C13" s="16" t="s">
        <v>68</v>
      </c>
      <c r="D13" s="20" t="s">
        <v>69</v>
      </c>
      <c r="E13" s="19" t="s">
        <v>63</v>
      </c>
      <c r="F13" s="19">
        <v>1936</v>
      </c>
      <c r="G13" s="19">
        <v>32</v>
      </c>
      <c r="H13" s="19">
        <v>21</v>
      </c>
      <c r="I13" s="19">
        <v>32</v>
      </c>
      <c r="J13" s="19">
        <v>32</v>
      </c>
      <c r="K13" s="19">
        <v>17</v>
      </c>
      <c r="L13" s="19">
        <v>6</v>
      </c>
      <c r="M13" s="32">
        <v>4</v>
      </c>
      <c r="N13" s="34">
        <f t="shared" si="0"/>
        <v>-0.33333333333333337</v>
      </c>
      <c r="O13" s="35">
        <f t="shared" si="1"/>
        <v>0.65625</v>
      </c>
      <c r="P13" s="35">
        <f t="shared" si="2"/>
        <v>0.4375</v>
      </c>
      <c r="Q13" s="21">
        <f t="shared" ref="Q13:Q25" si="3">G13*P13</f>
        <v>14</v>
      </c>
    </row>
    <row r="14" spans="1:19" s="22" customFormat="1" ht="18.75" customHeight="1">
      <c r="A14" s="16" t="s">
        <v>60</v>
      </c>
      <c r="B14" s="16" t="s">
        <v>70</v>
      </c>
      <c r="C14" s="16" t="s">
        <v>71</v>
      </c>
      <c r="D14" s="17"/>
      <c r="E14" s="19" t="s">
        <v>63</v>
      </c>
      <c r="F14" s="19">
        <v>1962</v>
      </c>
      <c r="G14" s="19">
        <v>271</v>
      </c>
      <c r="H14" s="19">
        <v>97</v>
      </c>
      <c r="I14" s="19">
        <v>100</v>
      </c>
      <c r="J14" s="19">
        <v>100</v>
      </c>
      <c r="K14" s="19">
        <v>99</v>
      </c>
      <c r="L14" s="19">
        <v>27</v>
      </c>
      <c r="M14" s="32">
        <v>16</v>
      </c>
      <c r="N14" s="34">
        <f t="shared" si="0"/>
        <v>-0.40740740740740744</v>
      </c>
      <c r="O14" s="35">
        <f t="shared" si="1"/>
        <v>0.35793357933579334</v>
      </c>
      <c r="P14" s="35">
        <f t="shared" si="2"/>
        <v>0.2121087877545442</v>
      </c>
      <c r="Q14" s="21">
        <f t="shared" si="3"/>
        <v>57.481481481481481</v>
      </c>
    </row>
    <row r="15" spans="1:19" s="27" customFormat="1" ht="18.75" customHeight="1">
      <c r="A15" s="23" t="s">
        <v>60</v>
      </c>
      <c r="B15" s="23" t="s">
        <v>72</v>
      </c>
      <c r="C15" s="23" t="s">
        <v>73</v>
      </c>
      <c r="D15" s="28"/>
      <c r="E15" s="25" t="s">
        <v>63</v>
      </c>
      <c r="F15" s="25">
        <v>1972</v>
      </c>
      <c r="G15" s="25">
        <v>69</v>
      </c>
      <c r="H15" s="25">
        <v>69</v>
      </c>
      <c r="I15" s="25">
        <v>69</v>
      </c>
      <c r="J15" s="25">
        <v>69</v>
      </c>
      <c r="K15" s="25">
        <v>69</v>
      </c>
      <c r="L15" s="25">
        <v>1</v>
      </c>
      <c r="M15" s="33">
        <v>25</v>
      </c>
      <c r="N15" s="34">
        <f t="shared" si="0"/>
        <v>24</v>
      </c>
      <c r="O15" s="36">
        <f t="shared" si="1"/>
        <v>1</v>
      </c>
      <c r="P15" s="36">
        <f t="shared" si="2"/>
        <v>25</v>
      </c>
      <c r="Q15" s="26">
        <v>69</v>
      </c>
      <c r="R15" s="27" t="s">
        <v>106</v>
      </c>
      <c r="S15" s="27" t="s">
        <v>104</v>
      </c>
    </row>
    <row r="16" spans="1:19" s="22" customFormat="1" ht="18.75" customHeight="1">
      <c r="A16" s="16" t="s">
        <v>60</v>
      </c>
      <c r="B16" s="16" t="s">
        <v>74</v>
      </c>
      <c r="C16" s="16" t="s">
        <v>75</v>
      </c>
      <c r="D16" s="17"/>
      <c r="E16" s="19" t="s">
        <v>63</v>
      </c>
      <c r="F16" s="19">
        <v>1983</v>
      </c>
      <c r="G16" s="19">
        <v>32</v>
      </c>
      <c r="H16" s="19">
        <v>32</v>
      </c>
      <c r="I16" s="19">
        <v>30</v>
      </c>
      <c r="J16" s="19">
        <v>5</v>
      </c>
      <c r="K16" s="19">
        <v>5</v>
      </c>
      <c r="L16" s="19">
        <v>40</v>
      </c>
      <c r="M16" s="32">
        <v>28</v>
      </c>
      <c r="N16" s="34">
        <f t="shared" si="0"/>
        <v>-0.30000000000000004</v>
      </c>
      <c r="O16" s="35">
        <f t="shared" si="1"/>
        <v>1</v>
      </c>
      <c r="P16" s="35">
        <f t="shared" si="2"/>
        <v>0.7</v>
      </c>
      <c r="Q16" s="21">
        <f t="shared" si="3"/>
        <v>22.4</v>
      </c>
    </row>
    <row r="17" spans="1:20" s="27" customFormat="1" ht="18.75" customHeight="1">
      <c r="A17" s="23" t="s">
        <v>60</v>
      </c>
      <c r="B17" s="23" t="s">
        <v>76</v>
      </c>
      <c r="C17" s="23" t="s">
        <v>77</v>
      </c>
      <c r="D17" s="24" t="s">
        <v>78</v>
      </c>
      <c r="E17" s="25" t="s">
        <v>63</v>
      </c>
      <c r="F17" s="25" t="s">
        <v>40</v>
      </c>
      <c r="G17" s="25">
        <v>167</v>
      </c>
      <c r="H17" s="25">
        <v>154</v>
      </c>
      <c r="I17" s="25"/>
      <c r="J17" s="25"/>
      <c r="K17" s="25"/>
      <c r="L17" s="25">
        <v>14</v>
      </c>
      <c r="M17" s="33">
        <v>31</v>
      </c>
      <c r="N17" s="34">
        <f t="shared" si="0"/>
        <v>1.2142857142857144</v>
      </c>
      <c r="O17" s="35">
        <f t="shared" si="1"/>
        <v>0.92215568862275454</v>
      </c>
      <c r="P17" s="36">
        <f t="shared" si="2"/>
        <v>2.0419161676646707</v>
      </c>
      <c r="Q17" s="26">
        <v>167</v>
      </c>
    </row>
    <row r="18" spans="1:20" s="22" customFormat="1" ht="18.75" customHeight="1">
      <c r="A18" s="16" t="s">
        <v>60</v>
      </c>
      <c r="B18" s="16" t="s">
        <v>79</v>
      </c>
      <c r="C18" s="16" t="s">
        <v>80</v>
      </c>
      <c r="D18" s="17"/>
      <c r="E18" s="19" t="s">
        <v>63</v>
      </c>
      <c r="F18" s="19">
        <v>1966</v>
      </c>
      <c r="G18" s="19">
        <v>267</v>
      </c>
      <c r="H18" s="19">
        <v>111</v>
      </c>
      <c r="I18" s="19">
        <v>267</v>
      </c>
      <c r="J18" s="19">
        <v>88</v>
      </c>
      <c r="K18" s="19">
        <v>87</v>
      </c>
      <c r="L18" s="19">
        <v>35</v>
      </c>
      <c r="M18" s="32">
        <v>41</v>
      </c>
      <c r="N18" s="34">
        <f t="shared" si="0"/>
        <v>0.17142857142857149</v>
      </c>
      <c r="O18" s="35">
        <f t="shared" si="1"/>
        <v>0.4157303370786517</v>
      </c>
      <c r="P18" s="35">
        <f t="shared" si="2"/>
        <v>0.48699839486356344</v>
      </c>
      <c r="Q18" s="21">
        <f t="shared" si="3"/>
        <v>130.02857142857144</v>
      </c>
      <c r="R18" s="27"/>
      <c r="T18" s="27"/>
    </row>
    <row r="19" spans="1:20" s="22" customFormat="1" ht="18.75" customHeight="1">
      <c r="A19" s="16" t="s">
        <v>60</v>
      </c>
      <c r="B19" s="16" t="s">
        <v>81</v>
      </c>
      <c r="C19" s="16" t="s">
        <v>82</v>
      </c>
      <c r="D19" s="17"/>
      <c r="E19" s="19" t="s">
        <v>63</v>
      </c>
      <c r="F19" s="19" t="s">
        <v>40</v>
      </c>
      <c r="G19" s="19">
        <v>90</v>
      </c>
      <c r="H19" s="19">
        <v>83</v>
      </c>
      <c r="I19" s="19"/>
      <c r="J19" s="19"/>
      <c r="K19" s="19"/>
      <c r="L19" s="19">
        <v>101</v>
      </c>
      <c r="M19" s="32">
        <v>61</v>
      </c>
      <c r="N19" s="34">
        <f t="shared" si="0"/>
        <v>-0.39603960396039606</v>
      </c>
      <c r="O19" s="35">
        <f t="shared" si="1"/>
        <v>0.92222222222222228</v>
      </c>
      <c r="P19" s="35">
        <f t="shared" si="2"/>
        <v>0.55698569856985702</v>
      </c>
      <c r="Q19" s="21">
        <f t="shared" si="3"/>
        <v>50.128712871287135</v>
      </c>
    </row>
    <row r="20" spans="1:20" s="22" customFormat="1" ht="18.75" customHeight="1">
      <c r="A20" s="16" t="s">
        <v>60</v>
      </c>
      <c r="B20" s="16" t="s">
        <v>83</v>
      </c>
      <c r="C20" s="16" t="s">
        <v>84</v>
      </c>
      <c r="D20" s="17"/>
      <c r="E20" s="19" t="s">
        <v>63</v>
      </c>
      <c r="F20" s="19" t="s">
        <v>40</v>
      </c>
      <c r="G20" s="19">
        <v>37</v>
      </c>
      <c r="H20" s="19">
        <v>10</v>
      </c>
      <c r="I20" s="19"/>
      <c r="J20" s="19"/>
      <c r="K20" s="19"/>
      <c r="L20" s="19">
        <v>37</v>
      </c>
      <c r="M20" s="32">
        <v>83</v>
      </c>
      <c r="N20" s="34">
        <f t="shared" si="0"/>
        <v>1.2432432432432434</v>
      </c>
      <c r="O20" s="35">
        <f t="shared" si="1"/>
        <v>0.27027027027027029</v>
      </c>
      <c r="P20" s="35">
        <f t="shared" si="2"/>
        <v>0.60628195763330905</v>
      </c>
      <c r="Q20" s="21">
        <f t="shared" si="3"/>
        <v>22.432432432432435</v>
      </c>
    </row>
    <row r="21" spans="1:20" s="22" customFormat="1" ht="18.75" customHeight="1">
      <c r="A21" s="16" t="s">
        <v>60</v>
      </c>
      <c r="B21" s="16" t="s">
        <v>85</v>
      </c>
      <c r="C21" s="16" t="s">
        <v>86</v>
      </c>
      <c r="D21" s="20" t="s">
        <v>87</v>
      </c>
      <c r="E21" s="19" t="s">
        <v>63</v>
      </c>
      <c r="F21" s="19">
        <v>1962</v>
      </c>
      <c r="G21" s="19">
        <v>246</v>
      </c>
      <c r="H21" s="19">
        <v>208</v>
      </c>
      <c r="I21" s="19">
        <v>246</v>
      </c>
      <c r="J21" s="19">
        <v>135</v>
      </c>
      <c r="K21" s="19">
        <v>132</v>
      </c>
      <c r="L21" s="19">
        <v>80</v>
      </c>
      <c r="M21" s="32">
        <v>91</v>
      </c>
      <c r="N21" s="34">
        <f t="shared" si="0"/>
        <v>0.13749999999999996</v>
      </c>
      <c r="O21" s="35">
        <f t="shared" si="1"/>
        <v>0.84552845528455289</v>
      </c>
      <c r="P21" s="35">
        <f t="shared" si="2"/>
        <v>0.96178861788617898</v>
      </c>
      <c r="Q21" s="21">
        <f t="shared" si="3"/>
        <v>236.60000000000002</v>
      </c>
    </row>
    <row r="22" spans="1:20" s="22" customFormat="1" ht="18.75" customHeight="1">
      <c r="A22" s="16" t="s">
        <v>60</v>
      </c>
      <c r="B22" s="16" t="s">
        <v>88</v>
      </c>
      <c r="C22" s="16" t="s">
        <v>89</v>
      </c>
      <c r="D22" s="20" t="s">
        <v>90</v>
      </c>
      <c r="E22" s="19" t="s">
        <v>63</v>
      </c>
      <c r="F22" s="19">
        <v>1900</v>
      </c>
      <c r="G22" s="19">
        <v>355</v>
      </c>
      <c r="H22" s="19">
        <v>163</v>
      </c>
      <c r="I22" s="19">
        <v>156</v>
      </c>
      <c r="J22" s="19">
        <v>156</v>
      </c>
      <c r="K22" s="19">
        <v>139</v>
      </c>
      <c r="L22" s="19">
        <v>116</v>
      </c>
      <c r="M22" s="32">
        <v>100</v>
      </c>
      <c r="N22" s="34">
        <f t="shared" si="0"/>
        <v>-0.13793103448275867</v>
      </c>
      <c r="O22" s="35">
        <f t="shared" si="1"/>
        <v>0.45915492957746479</v>
      </c>
      <c r="P22" s="35">
        <f t="shared" si="2"/>
        <v>0.39582321515298691</v>
      </c>
      <c r="Q22" s="21">
        <f t="shared" si="3"/>
        <v>140.51724137931035</v>
      </c>
    </row>
    <row r="23" spans="1:20" s="22" customFormat="1" ht="18.75" customHeight="1">
      <c r="A23" s="16" t="s">
        <v>60</v>
      </c>
      <c r="B23" s="16" t="s">
        <v>91</v>
      </c>
      <c r="C23" s="16" t="s">
        <v>92</v>
      </c>
      <c r="D23" s="17"/>
      <c r="E23" s="19" t="s">
        <v>63</v>
      </c>
      <c r="F23" s="19">
        <v>1960</v>
      </c>
      <c r="G23" s="19">
        <v>326</v>
      </c>
      <c r="H23" s="19">
        <v>122</v>
      </c>
      <c r="I23" s="19"/>
      <c r="J23" s="19"/>
      <c r="K23" s="19"/>
      <c r="L23" s="19">
        <v>226</v>
      </c>
      <c r="M23" s="32">
        <v>297</v>
      </c>
      <c r="N23" s="34">
        <f t="shared" si="0"/>
        <v>0.31415929203539816</v>
      </c>
      <c r="O23" s="35">
        <f t="shared" si="1"/>
        <v>0.37423312883435583</v>
      </c>
      <c r="P23" s="35">
        <f t="shared" si="2"/>
        <v>0.49180194364514906</v>
      </c>
      <c r="Q23" s="21">
        <f t="shared" si="3"/>
        <v>160.3274336283186</v>
      </c>
    </row>
    <row r="24" spans="1:20" s="22" customFormat="1" ht="18.75" customHeight="1">
      <c r="A24" s="16" t="s">
        <v>60</v>
      </c>
      <c r="B24" s="16" t="s">
        <v>93</v>
      </c>
      <c r="C24" s="16" t="s">
        <v>94</v>
      </c>
      <c r="D24" s="17"/>
      <c r="E24" s="19" t="s">
        <v>63</v>
      </c>
      <c r="F24" s="19">
        <v>1960</v>
      </c>
      <c r="G24" s="19">
        <v>916</v>
      </c>
      <c r="H24" s="19">
        <v>344</v>
      </c>
      <c r="I24" s="19"/>
      <c r="J24" s="19"/>
      <c r="K24" s="19"/>
      <c r="L24" s="19">
        <v>356</v>
      </c>
      <c r="M24" s="32">
        <v>454</v>
      </c>
      <c r="N24" s="34">
        <f t="shared" si="0"/>
        <v>0.27528089887640439</v>
      </c>
      <c r="O24" s="35">
        <f t="shared" si="1"/>
        <v>0.37554585152838427</v>
      </c>
      <c r="P24" s="35">
        <f t="shared" si="2"/>
        <v>0.47892645110642262</v>
      </c>
      <c r="Q24" s="21">
        <f t="shared" si="3"/>
        <v>438.69662921348311</v>
      </c>
    </row>
    <row r="25" spans="1:20" s="22" customFormat="1" ht="18.75" customHeight="1">
      <c r="A25" s="16" t="s">
        <v>60</v>
      </c>
      <c r="B25" s="16" t="s">
        <v>95</v>
      </c>
      <c r="C25" s="16" t="s">
        <v>96</v>
      </c>
      <c r="D25" s="17"/>
      <c r="E25" s="19" t="s">
        <v>63</v>
      </c>
      <c r="F25" s="19" t="s">
        <v>40</v>
      </c>
      <c r="G25" s="19">
        <v>777</v>
      </c>
      <c r="H25" s="19">
        <v>313</v>
      </c>
      <c r="I25" s="19">
        <v>777</v>
      </c>
      <c r="J25" s="19">
        <v>200</v>
      </c>
      <c r="K25" s="19">
        <v>200</v>
      </c>
      <c r="L25" s="19">
        <v>391</v>
      </c>
      <c r="M25" s="32">
        <v>554</v>
      </c>
      <c r="N25" s="34">
        <f t="shared" si="0"/>
        <v>0.41687979539641939</v>
      </c>
      <c r="O25" s="35">
        <f t="shared" si="1"/>
        <v>0.40283140283140284</v>
      </c>
      <c r="P25" s="35">
        <f t="shared" si="2"/>
        <v>0.57076367562301067</v>
      </c>
      <c r="Q25" s="21">
        <f t="shared" si="3"/>
        <v>443.4833759590793</v>
      </c>
    </row>
    <row r="26" spans="1:20">
      <c r="M26" s="29"/>
      <c r="N26" s="29"/>
      <c r="O26" s="29"/>
      <c r="P26" s="29"/>
    </row>
  </sheetData>
  <mergeCells count="4">
    <mergeCell ref="K9:N9"/>
    <mergeCell ref="I9:J9"/>
    <mergeCell ref="G9:H9"/>
    <mergeCell ref="O9:P9"/>
  </mergeCells>
  <pageMargins left="0.7" right="0.7" top="0.75" bottom="0.75" header="0.3" footer="0.3"/>
  <pageSetup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dimension ref="B4:G13"/>
  <sheetViews>
    <sheetView workbookViewId="0">
      <selection activeCell="I8" sqref="I8"/>
    </sheetView>
  </sheetViews>
  <sheetFormatPr defaultRowHeight="15"/>
  <sheetData>
    <row r="4" spans="2:7">
      <c r="C4" s="174" t="s">
        <v>205</v>
      </c>
      <c r="D4" s="174"/>
      <c r="E4" s="174" t="s">
        <v>154</v>
      </c>
      <c r="F4" s="174"/>
      <c r="G4" s="175"/>
    </row>
    <row r="5" spans="2:7">
      <c r="B5" s="176" t="s">
        <v>34</v>
      </c>
      <c r="C5" s="178" t="s">
        <v>155</v>
      </c>
      <c r="D5" s="178" t="s">
        <v>156</v>
      </c>
      <c r="E5" s="178" t="s">
        <v>157</v>
      </c>
      <c r="F5" s="180" t="s">
        <v>174</v>
      </c>
      <c r="G5" s="178" t="s">
        <v>158</v>
      </c>
    </row>
    <row r="6" spans="2:7" ht="24.75" customHeight="1">
      <c r="B6" s="177"/>
      <c r="C6" s="179"/>
      <c r="D6" s="179"/>
      <c r="E6" s="179"/>
      <c r="F6" s="181"/>
      <c r="G6" s="179"/>
    </row>
    <row r="7" spans="2:7">
      <c r="B7" s="78" t="s">
        <v>36</v>
      </c>
      <c r="C7" s="62">
        <v>174</v>
      </c>
      <c r="D7" s="78">
        <v>11270</v>
      </c>
      <c r="E7" s="78">
        <v>11</v>
      </c>
      <c r="F7" s="78">
        <v>5</v>
      </c>
      <c r="G7" s="78">
        <v>371</v>
      </c>
    </row>
    <row r="8" spans="2:7">
      <c r="B8" s="78" t="s">
        <v>39</v>
      </c>
      <c r="C8" s="62">
        <v>296</v>
      </c>
      <c r="D8" s="78">
        <v>13716</v>
      </c>
      <c r="E8" s="78">
        <v>12</v>
      </c>
      <c r="F8" s="78">
        <v>11</v>
      </c>
      <c r="G8" s="78">
        <v>374</v>
      </c>
    </row>
    <row r="9" spans="2:7">
      <c r="B9" s="78" t="s">
        <v>35</v>
      </c>
      <c r="C9" s="84">
        <v>926</v>
      </c>
      <c r="D9" s="78">
        <v>25525</v>
      </c>
      <c r="E9" s="78">
        <v>12</v>
      </c>
      <c r="F9" s="78">
        <v>7</v>
      </c>
      <c r="G9" s="78">
        <v>378</v>
      </c>
    </row>
    <row r="10" spans="2:7">
      <c r="B10" s="78" t="s">
        <v>124</v>
      </c>
      <c r="C10" s="62">
        <v>69</v>
      </c>
      <c r="D10" s="78">
        <v>5489</v>
      </c>
      <c r="E10" s="78">
        <v>7</v>
      </c>
      <c r="F10" s="78">
        <v>7</v>
      </c>
      <c r="G10" s="78">
        <v>359</v>
      </c>
    </row>
    <row r="11" spans="2:7">
      <c r="B11" s="78" t="s">
        <v>38</v>
      </c>
      <c r="C11" s="62">
        <v>233</v>
      </c>
      <c r="D11" s="78">
        <v>8286</v>
      </c>
      <c r="E11" s="78">
        <v>10</v>
      </c>
      <c r="F11" s="78">
        <v>10</v>
      </c>
      <c r="G11" s="78">
        <v>367</v>
      </c>
    </row>
    <row r="12" spans="2:7">
      <c r="B12" s="78" t="s">
        <v>37</v>
      </c>
      <c r="C12" s="78">
        <v>56</v>
      </c>
      <c r="D12" s="78">
        <v>3882</v>
      </c>
      <c r="E12" s="78">
        <v>7</v>
      </c>
      <c r="F12" s="78">
        <v>7</v>
      </c>
      <c r="G12" s="78">
        <v>350</v>
      </c>
    </row>
    <row r="13" spans="2:7">
      <c r="B13" s="79" t="s">
        <v>162</v>
      </c>
      <c r="C13" s="79">
        <f>SUM(C7:C12)</f>
        <v>1754</v>
      </c>
      <c r="D13" s="79">
        <f>SUM(D7:D12)</f>
        <v>68168</v>
      </c>
      <c r="E13" s="79">
        <f>SUM(E7:E12)</f>
        <v>59</v>
      </c>
      <c r="F13" s="79">
        <f>SUM(F7:F12)</f>
        <v>47</v>
      </c>
      <c r="G13" s="130">
        <f>SUM(G7:G12)</f>
        <v>2199</v>
      </c>
    </row>
  </sheetData>
  <mergeCells count="8">
    <mergeCell ref="C4:D4"/>
    <mergeCell ref="E4:G4"/>
    <mergeCell ref="B5:B6"/>
    <mergeCell ref="C5:C6"/>
    <mergeCell ref="D5:D6"/>
    <mergeCell ref="E5:E6"/>
    <mergeCell ref="G5:G6"/>
    <mergeCell ref="F5:F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9"/>
  <sheetViews>
    <sheetView showGridLines="0" tabSelected="1" view="pageBreakPreview" topLeftCell="A23" zoomScale="80" zoomScaleNormal="100" zoomScaleSheetLayoutView="80" workbookViewId="0">
      <selection activeCell="J40" sqref="J40"/>
    </sheetView>
  </sheetViews>
  <sheetFormatPr defaultRowHeight="15"/>
  <cols>
    <col min="1" max="2" width="0.7109375" customWidth="1"/>
    <col min="3" max="3" width="1.7109375" customWidth="1"/>
    <col min="4" max="4" width="8" customWidth="1"/>
    <col min="5" max="5" width="13.5703125" customWidth="1"/>
    <col min="6" max="6" width="19" customWidth="1"/>
    <col min="7" max="7" width="12.140625" customWidth="1"/>
    <col min="8" max="8" width="12" customWidth="1"/>
    <col min="9" max="9" width="16.85546875" customWidth="1"/>
    <col min="10" max="10" width="17.28515625" customWidth="1"/>
    <col min="11" max="11" width="21.7109375" customWidth="1"/>
    <col min="12" max="12" width="8" customWidth="1"/>
    <col min="13" max="13" width="16.28515625" customWidth="1"/>
    <col min="14" max="14" width="19.140625" customWidth="1"/>
    <col min="15" max="15" width="16.42578125" customWidth="1"/>
    <col min="16" max="16" width="4.5703125" customWidth="1"/>
  </cols>
  <sheetData>
    <row r="1" spans="1:17" ht="20.25" customHeight="1">
      <c r="A1" s="208" t="s">
        <v>233</v>
      </c>
      <c r="B1" s="208"/>
      <c r="C1" s="208"/>
      <c r="D1" s="208"/>
      <c r="E1" s="208"/>
      <c r="F1" s="208"/>
      <c r="G1" s="208"/>
      <c r="H1" s="208"/>
      <c r="I1" s="208"/>
      <c r="J1" s="208"/>
      <c r="K1" s="208"/>
      <c r="L1" s="208"/>
      <c r="M1" s="208"/>
      <c r="N1" s="208"/>
      <c r="O1" s="208"/>
      <c r="P1" s="208"/>
      <c r="Q1" s="208"/>
    </row>
    <row r="2" spans="1:17" ht="31.5" customHeight="1">
      <c r="A2" s="208" t="s">
        <v>234</v>
      </c>
      <c r="B2" s="208"/>
      <c r="C2" s="208"/>
      <c r="D2" s="208"/>
      <c r="E2" s="208"/>
      <c r="F2" s="208"/>
      <c r="G2" s="208"/>
      <c r="H2" s="208"/>
      <c r="I2" s="208"/>
      <c r="J2" s="208"/>
      <c r="K2" s="208"/>
      <c r="L2" s="208"/>
      <c r="M2" s="208"/>
      <c r="N2" s="208"/>
      <c r="O2" s="208"/>
      <c r="P2" s="208"/>
      <c r="Q2" s="208"/>
    </row>
    <row r="3" spans="1:17" ht="15.75" thickBot="1"/>
    <row r="4" spans="1:17">
      <c r="E4" s="225" t="s">
        <v>223</v>
      </c>
      <c r="F4" s="226"/>
      <c r="G4" s="227" t="s">
        <v>144</v>
      </c>
      <c r="H4" s="228"/>
      <c r="I4" s="229"/>
      <c r="J4" s="207"/>
      <c r="K4" s="237" t="s">
        <v>229</v>
      </c>
      <c r="L4" s="238"/>
      <c r="M4" s="238"/>
      <c r="N4" s="239">
        <f>(F19+J19)/(F19+J19+K19+L19+M19)</f>
        <v>0.50356859635210149</v>
      </c>
      <c r="O4" s="205"/>
      <c r="P4" s="205"/>
      <c r="Q4" s="205"/>
    </row>
    <row r="5" spans="1:17">
      <c r="E5" s="230" t="s">
        <v>224</v>
      </c>
      <c r="F5" s="209"/>
      <c r="G5" s="212" t="s">
        <v>196</v>
      </c>
      <c r="H5" s="213"/>
      <c r="I5" s="231"/>
      <c r="J5" s="207"/>
      <c r="K5" s="240" t="s">
        <v>230</v>
      </c>
      <c r="L5" s="211"/>
      <c r="M5" s="211"/>
      <c r="N5" s="241">
        <f>F19/(F19+J19+K19+L19+M19+(N4*N19))</f>
        <v>0.28858995059049491</v>
      </c>
      <c r="O5" s="205"/>
      <c r="P5" s="205"/>
      <c r="Q5" s="205"/>
    </row>
    <row r="6" spans="1:17" ht="15.75" thickBot="1">
      <c r="E6" s="230" t="s">
        <v>225</v>
      </c>
      <c r="F6" s="209"/>
      <c r="G6" s="212" t="s">
        <v>227</v>
      </c>
      <c r="H6" s="213"/>
      <c r="I6" s="231"/>
      <c r="J6" s="207"/>
      <c r="K6" s="242" t="s">
        <v>231</v>
      </c>
      <c r="L6" s="243"/>
      <c r="M6" s="243"/>
      <c r="N6" s="244">
        <f>J19/(F19+J19+K19+L19+M19+(N4*N19))</f>
        <v>7.8286162772796916E-2</v>
      </c>
      <c r="O6" s="205"/>
      <c r="P6" s="205"/>
      <c r="Q6" s="205"/>
    </row>
    <row r="7" spans="1:17" ht="15.75" thickBot="1">
      <c r="E7" s="232" t="s">
        <v>226</v>
      </c>
      <c r="F7" s="233"/>
      <c r="G7" s="234" t="s">
        <v>228</v>
      </c>
      <c r="H7" s="235"/>
      <c r="I7" s="236"/>
      <c r="J7" s="205"/>
      <c r="K7" s="206"/>
      <c r="L7" s="205"/>
      <c r="M7" s="205"/>
      <c r="N7" s="205"/>
      <c r="O7" s="205"/>
    </row>
    <row r="8" spans="1:17">
      <c r="E8" s="205"/>
      <c r="F8" s="205"/>
      <c r="G8" s="205"/>
      <c r="H8" s="205"/>
      <c r="I8" s="205"/>
      <c r="J8" s="205"/>
      <c r="K8" s="205"/>
      <c r="L8" s="205"/>
      <c r="M8" s="205"/>
      <c r="N8" s="205"/>
      <c r="O8" s="205"/>
    </row>
    <row r="9" spans="1:17" ht="15.75" thickBot="1">
      <c r="E9" s="205"/>
      <c r="F9" s="205"/>
      <c r="G9" s="205"/>
      <c r="H9" s="205"/>
      <c r="I9" s="205"/>
      <c r="J9" s="205"/>
      <c r="K9" s="205"/>
      <c r="L9" s="205"/>
      <c r="M9" s="205"/>
      <c r="N9" s="205"/>
      <c r="O9" s="205"/>
    </row>
    <row r="10" spans="1:17">
      <c r="E10" s="245" t="s">
        <v>174</v>
      </c>
      <c r="F10" s="246"/>
      <c r="G10" s="246"/>
      <c r="H10" s="246"/>
      <c r="I10" s="246"/>
      <c r="J10" s="246"/>
      <c r="K10" s="246"/>
      <c r="L10" s="246"/>
      <c r="M10" s="246"/>
      <c r="N10" s="246"/>
      <c r="O10" s="247"/>
    </row>
    <row r="11" spans="1:17" s="76" customFormat="1" ht="36.75" customHeight="1">
      <c r="E11" s="248" t="s">
        <v>34</v>
      </c>
      <c r="F11" s="214" t="s">
        <v>201</v>
      </c>
      <c r="G11" s="215" t="s">
        <v>159</v>
      </c>
      <c r="H11" s="215"/>
      <c r="I11" s="216" t="s">
        <v>160</v>
      </c>
      <c r="J11" s="217" t="s">
        <v>142</v>
      </c>
      <c r="K11" s="218" t="s">
        <v>200</v>
      </c>
      <c r="L11" s="218"/>
      <c r="M11" s="218"/>
      <c r="N11" s="217" t="s">
        <v>232</v>
      </c>
      <c r="O11" s="249" t="s">
        <v>195</v>
      </c>
    </row>
    <row r="12" spans="1:17" s="76" customFormat="1" ht="36.75" customHeight="1">
      <c r="E12" s="248"/>
      <c r="F12" s="214"/>
      <c r="G12" s="219" t="s">
        <v>161</v>
      </c>
      <c r="H12" s="219" t="s">
        <v>146</v>
      </c>
      <c r="I12" s="216"/>
      <c r="J12" s="219" t="s">
        <v>196</v>
      </c>
      <c r="K12" s="217" t="s">
        <v>202</v>
      </c>
      <c r="L12" s="217" t="s">
        <v>198</v>
      </c>
      <c r="M12" s="217" t="s">
        <v>199</v>
      </c>
      <c r="N12" s="219" t="s">
        <v>197</v>
      </c>
      <c r="O12" s="249"/>
    </row>
    <row r="13" spans="1:17">
      <c r="E13" s="250" t="s">
        <v>36</v>
      </c>
      <c r="F13" s="220">
        <f t="shared" ref="F13:F18" si="0">G13+H13</f>
        <v>128</v>
      </c>
      <c r="G13" s="221">
        <v>126</v>
      </c>
      <c r="H13" s="221">
        <v>2</v>
      </c>
      <c r="I13" s="222">
        <v>8.61</v>
      </c>
      <c r="J13" s="221">
        <f>SUM(Weights!P11:P15)</f>
        <v>50</v>
      </c>
      <c r="K13" s="221">
        <f>SUM(Weights!Q11:Q15)</f>
        <v>110</v>
      </c>
      <c r="L13" s="221">
        <f>SUM(Weights!R11:R15)</f>
        <v>15</v>
      </c>
      <c r="M13" s="221">
        <f>SUM(Weights!S11:S15)</f>
        <v>13</v>
      </c>
      <c r="N13" s="221">
        <f>SUM(Weights!U11:U15)</f>
        <v>171</v>
      </c>
      <c r="O13" s="251">
        <v>105</v>
      </c>
    </row>
    <row r="14" spans="1:17">
      <c r="E14" s="250" t="s">
        <v>39</v>
      </c>
      <c r="F14" s="220">
        <f t="shared" si="0"/>
        <v>183</v>
      </c>
      <c r="G14" s="221">
        <v>172</v>
      </c>
      <c r="H14" s="221">
        <v>11</v>
      </c>
      <c r="I14" s="223">
        <v>7.2</v>
      </c>
      <c r="J14" s="221">
        <f>SUM(Weights!P23:P33)</f>
        <v>15</v>
      </c>
      <c r="K14" s="221">
        <f>SUM(Weights!Q23:Q33)</f>
        <v>72</v>
      </c>
      <c r="L14" s="221">
        <f>SUM(Weights!R23:R33)</f>
        <v>6</v>
      </c>
      <c r="M14" s="221">
        <f>SUM(Weights!S23:S33)</f>
        <v>16</v>
      </c>
      <c r="N14" s="221">
        <f>SUM(Weights!U23:U33)</f>
        <v>203</v>
      </c>
      <c r="O14" s="252">
        <v>105</v>
      </c>
    </row>
    <row r="15" spans="1:17" s="61" customFormat="1">
      <c r="E15" s="250" t="s">
        <v>35</v>
      </c>
      <c r="F15" s="220">
        <f t="shared" si="0"/>
        <v>181</v>
      </c>
      <c r="G15" s="221">
        <v>176</v>
      </c>
      <c r="H15" s="221">
        <v>5</v>
      </c>
      <c r="I15" s="224">
        <v>7.26</v>
      </c>
      <c r="J15" s="221">
        <f>SUM(Weights!P37:P43)</f>
        <v>25</v>
      </c>
      <c r="K15" s="221">
        <f>SUM(Weights!Q37:Q43)</f>
        <v>99</v>
      </c>
      <c r="L15" s="221">
        <f>SUM(Weights!R37:R43)</f>
        <v>32</v>
      </c>
      <c r="M15" s="221">
        <f>SUM(Weights!S37:S43)</f>
        <v>11</v>
      </c>
      <c r="N15" s="221">
        <f>SUM(Weights!U37:U43)</f>
        <v>351</v>
      </c>
      <c r="O15" s="253">
        <v>106</v>
      </c>
    </row>
    <row r="16" spans="1:17">
      <c r="E16" s="250" t="s">
        <v>124</v>
      </c>
      <c r="F16" s="220">
        <f t="shared" si="0"/>
        <v>182</v>
      </c>
      <c r="G16" s="221">
        <v>182</v>
      </c>
      <c r="H16" s="221">
        <v>0</v>
      </c>
      <c r="I16" s="210">
        <v>7.14</v>
      </c>
      <c r="J16" s="221">
        <f>SUM(Weights!P50:P56)</f>
        <v>84</v>
      </c>
      <c r="K16" s="221">
        <f>SUM(Weights!Q50:Q56)</f>
        <v>327</v>
      </c>
      <c r="L16" s="221">
        <f>SUM(Weights!R50:R56)</f>
        <v>29</v>
      </c>
      <c r="M16" s="221">
        <f>SUM(Weights!S50:S56)</f>
        <v>33</v>
      </c>
      <c r="N16" s="221">
        <f>SUM(Weights!U50:U56)</f>
        <v>430</v>
      </c>
      <c r="O16" s="252">
        <v>104</v>
      </c>
    </row>
    <row r="17" spans="5:15">
      <c r="E17" s="250" t="s">
        <v>38</v>
      </c>
      <c r="F17" s="220">
        <f t="shared" si="0"/>
        <v>131</v>
      </c>
      <c r="G17" s="221">
        <v>131</v>
      </c>
      <c r="H17" s="221">
        <v>0</v>
      </c>
      <c r="I17" s="210">
        <v>8.4700000000000006</v>
      </c>
      <c r="J17" s="221">
        <f>SUM(Weights!P58:P67)</f>
        <v>69</v>
      </c>
      <c r="K17" s="221">
        <f>SUM(Weights!Q58:Q67)</f>
        <v>263</v>
      </c>
      <c r="L17" s="221">
        <f>SUM(Weights!R58:R67)</f>
        <v>43</v>
      </c>
      <c r="M17" s="221">
        <f>SUM(Weights!S58:S67)</f>
        <v>19</v>
      </c>
      <c r="N17" s="221">
        <f>SUM(Weights!U58:U67)</f>
        <v>575</v>
      </c>
      <c r="O17" s="252">
        <v>104</v>
      </c>
    </row>
    <row r="18" spans="5:15">
      <c r="E18" s="250" t="s">
        <v>37</v>
      </c>
      <c r="F18" s="220">
        <f t="shared" si="0"/>
        <v>194</v>
      </c>
      <c r="G18" s="221">
        <v>191</v>
      </c>
      <c r="H18" s="221">
        <v>3</v>
      </c>
      <c r="I18" s="210">
        <v>6.82</v>
      </c>
      <c r="J18" s="221">
        <f>SUM(Weights!P69:P75)</f>
        <v>28</v>
      </c>
      <c r="K18" s="221">
        <f>SUM(Weights!Q69:Q75)</f>
        <v>135</v>
      </c>
      <c r="L18" s="221">
        <f>SUM(Weights!R69:R75)</f>
        <v>13</v>
      </c>
      <c r="M18" s="221">
        <f>SUM(Weights!S69:S75)</f>
        <v>16</v>
      </c>
      <c r="N18" s="221">
        <f>SUM(Weights!U69:U75)</f>
        <v>136</v>
      </c>
      <c r="O18" s="252">
        <v>103</v>
      </c>
    </row>
    <row r="19" spans="5:15" s="81" customFormat="1" ht="15.75" thickBot="1">
      <c r="E19" s="254" t="s">
        <v>162</v>
      </c>
      <c r="F19" s="255">
        <f>SUM(F13:F18)</f>
        <v>999</v>
      </c>
      <c r="G19" s="256">
        <f>SUM(G13:G18)</f>
        <v>978</v>
      </c>
      <c r="H19" s="256">
        <f>SUM(H13:H18)</f>
        <v>21</v>
      </c>
      <c r="I19" s="257"/>
      <c r="J19" s="256">
        <f>SUM(J13:J18)</f>
        <v>271</v>
      </c>
      <c r="K19" s="256">
        <f>SUM(K13:K18)</f>
        <v>1006</v>
      </c>
      <c r="L19" s="256">
        <f>SUM(L13:L18)</f>
        <v>138</v>
      </c>
      <c r="M19" s="256">
        <f>SUM(M13:M18)</f>
        <v>108</v>
      </c>
      <c r="N19" s="256">
        <f>SUM(N13:N18)</f>
        <v>1866</v>
      </c>
      <c r="O19" s="258"/>
    </row>
    <row r="20" spans="5:15">
      <c r="E20" s="205"/>
      <c r="F20" s="205"/>
      <c r="G20" s="205"/>
      <c r="H20" s="205"/>
      <c r="I20" s="205"/>
      <c r="J20" s="205"/>
      <c r="K20" s="205"/>
      <c r="L20" s="205"/>
      <c r="M20" s="205"/>
      <c r="N20" s="205"/>
      <c r="O20" s="205"/>
    </row>
    <row r="21" spans="5:15" ht="15.75" thickBot="1">
      <c r="E21" s="205"/>
      <c r="F21" s="205"/>
      <c r="G21" s="205"/>
      <c r="H21" s="205"/>
      <c r="I21" s="205"/>
      <c r="J21" s="205"/>
      <c r="K21" s="205"/>
      <c r="L21" s="205"/>
      <c r="M21" s="205"/>
      <c r="N21" s="205"/>
      <c r="O21" s="205"/>
    </row>
    <row r="22" spans="5:15" ht="15.75" thickBot="1">
      <c r="E22" s="259"/>
      <c r="F22" s="260" t="s">
        <v>201</v>
      </c>
      <c r="G22" s="260"/>
      <c r="H22" s="261"/>
      <c r="I22" s="205"/>
      <c r="J22" s="205"/>
      <c r="K22" s="205"/>
      <c r="L22" s="205"/>
      <c r="M22" s="205"/>
      <c r="N22" s="205"/>
      <c r="O22" s="205"/>
    </row>
    <row r="23" spans="5:15">
      <c r="E23" s="248" t="s">
        <v>34</v>
      </c>
      <c r="F23" s="215" t="s">
        <v>159</v>
      </c>
      <c r="G23" s="215"/>
      <c r="H23" s="262" t="s">
        <v>189</v>
      </c>
      <c r="I23" s="205"/>
      <c r="J23" s="259"/>
      <c r="K23" s="265" t="s">
        <v>216</v>
      </c>
      <c r="L23" s="205"/>
      <c r="M23" s="205"/>
      <c r="N23" s="205"/>
      <c r="O23" s="205"/>
    </row>
    <row r="24" spans="5:15" ht="28.5">
      <c r="E24" s="248"/>
      <c r="F24" s="219" t="s">
        <v>161</v>
      </c>
      <c r="G24" s="219" t="s">
        <v>146</v>
      </c>
      <c r="H24" s="262"/>
      <c r="I24" s="205"/>
      <c r="J24" s="266" t="s">
        <v>34</v>
      </c>
      <c r="K24" s="267" t="s">
        <v>214</v>
      </c>
      <c r="L24" s="205"/>
      <c r="M24" s="205"/>
      <c r="N24" s="205"/>
      <c r="O24" s="205"/>
    </row>
    <row r="25" spans="5:15">
      <c r="E25" s="250" t="s">
        <v>36</v>
      </c>
      <c r="F25" s="221">
        <v>184</v>
      </c>
      <c r="G25" s="221">
        <v>3</v>
      </c>
      <c r="H25" s="263">
        <f>F25+G25</f>
        <v>187</v>
      </c>
      <c r="I25" s="205"/>
      <c r="J25" s="250" t="s">
        <v>36</v>
      </c>
      <c r="K25" s="268">
        <v>1.85</v>
      </c>
      <c r="L25" s="205"/>
      <c r="M25" s="205"/>
      <c r="N25" s="205"/>
      <c r="O25" s="205"/>
    </row>
    <row r="26" spans="5:15">
      <c r="E26" s="250" t="s">
        <v>39</v>
      </c>
      <c r="F26" s="221">
        <v>172</v>
      </c>
      <c r="G26" s="221">
        <v>21</v>
      </c>
      <c r="H26" s="263">
        <f t="shared" ref="H26:H30" si="1">F26+G26</f>
        <v>193</v>
      </c>
      <c r="I26" s="205"/>
      <c r="J26" s="250" t="s">
        <v>39</v>
      </c>
      <c r="K26" s="268">
        <v>2.84</v>
      </c>
      <c r="L26" s="205"/>
      <c r="M26" s="205"/>
      <c r="N26" s="206"/>
      <c r="O26" s="205"/>
    </row>
    <row r="27" spans="5:15">
      <c r="E27" s="250" t="s">
        <v>35</v>
      </c>
      <c r="F27" s="221">
        <v>229</v>
      </c>
      <c r="G27" s="221">
        <v>17</v>
      </c>
      <c r="H27" s="263">
        <f t="shared" si="1"/>
        <v>246</v>
      </c>
      <c r="I27" s="205"/>
      <c r="J27" s="250" t="s">
        <v>35</v>
      </c>
      <c r="K27" s="268">
        <v>3.45</v>
      </c>
      <c r="L27" s="205"/>
      <c r="M27" s="205"/>
      <c r="N27" s="205"/>
      <c r="O27" s="205"/>
    </row>
    <row r="28" spans="5:15">
      <c r="E28" s="250" t="s">
        <v>124</v>
      </c>
      <c r="F28" s="221">
        <v>182</v>
      </c>
      <c r="G28" s="221">
        <v>0</v>
      </c>
      <c r="H28" s="263">
        <f t="shared" si="1"/>
        <v>182</v>
      </c>
      <c r="I28" s="205"/>
      <c r="J28" s="250" t="s">
        <v>124</v>
      </c>
      <c r="K28" s="268">
        <v>1.68</v>
      </c>
      <c r="L28" s="205"/>
      <c r="M28" s="205"/>
      <c r="N28" s="205"/>
      <c r="O28" s="205"/>
    </row>
    <row r="29" spans="5:15">
      <c r="E29" s="250" t="s">
        <v>38</v>
      </c>
      <c r="F29" s="221">
        <v>131</v>
      </c>
      <c r="G29" s="221">
        <v>0</v>
      </c>
      <c r="H29" s="263">
        <f t="shared" si="1"/>
        <v>131</v>
      </c>
      <c r="I29" s="205"/>
      <c r="J29" s="250" t="s">
        <v>38</v>
      </c>
      <c r="K29" s="268">
        <v>2.91</v>
      </c>
      <c r="L29" s="205"/>
      <c r="M29" s="205"/>
      <c r="N29" s="205"/>
      <c r="O29" s="205"/>
    </row>
    <row r="30" spans="5:15" ht="15.75" thickBot="1">
      <c r="E30" s="250" t="s">
        <v>37</v>
      </c>
      <c r="F30" s="221">
        <v>191</v>
      </c>
      <c r="G30" s="221">
        <v>3</v>
      </c>
      <c r="H30" s="263">
        <f t="shared" si="1"/>
        <v>194</v>
      </c>
      <c r="I30" s="205"/>
      <c r="J30" s="269" t="s">
        <v>37</v>
      </c>
      <c r="K30" s="270">
        <v>1.48</v>
      </c>
      <c r="L30" s="205"/>
      <c r="M30" s="205"/>
      <c r="N30" s="205"/>
      <c r="O30" s="205"/>
    </row>
    <row r="31" spans="5:15" ht="15.75" thickBot="1">
      <c r="E31" s="254" t="s">
        <v>162</v>
      </c>
      <c r="F31" s="256">
        <f>SUM(F25:F30)</f>
        <v>1089</v>
      </c>
      <c r="G31" s="256">
        <f>SUM(G25:G30)</f>
        <v>44</v>
      </c>
      <c r="H31" s="264">
        <f t="shared" ref="H31" si="2">SUM(H25:H30)</f>
        <v>1133</v>
      </c>
      <c r="I31" s="205"/>
      <c r="J31" s="271"/>
      <c r="K31" s="272"/>
      <c r="L31" s="205"/>
      <c r="M31" s="205"/>
      <c r="N31" s="205"/>
      <c r="O31" s="205"/>
    </row>
    <row r="49" spans="14:14">
      <c r="N49" s="205" t="s">
        <v>235</v>
      </c>
    </row>
  </sheetData>
  <mergeCells count="24">
    <mergeCell ref="E4:F4"/>
    <mergeCell ref="E5:F5"/>
    <mergeCell ref="E7:F7"/>
    <mergeCell ref="E6:F6"/>
    <mergeCell ref="A1:Q1"/>
    <mergeCell ref="A2:Q2"/>
    <mergeCell ref="K4:M4"/>
    <mergeCell ref="K5:M5"/>
    <mergeCell ref="K6:M6"/>
    <mergeCell ref="G4:I4"/>
    <mergeCell ref="G5:I5"/>
    <mergeCell ref="G6:I6"/>
    <mergeCell ref="G7:I7"/>
    <mergeCell ref="E10:N10"/>
    <mergeCell ref="O11:O12"/>
    <mergeCell ref="G11:H11"/>
    <mergeCell ref="K11:M11"/>
    <mergeCell ref="E11:E12"/>
    <mergeCell ref="E23:E24"/>
    <mergeCell ref="F22:H22"/>
    <mergeCell ref="F23:G23"/>
    <mergeCell ref="H23:H24"/>
    <mergeCell ref="I11:I12"/>
    <mergeCell ref="F11:F12"/>
  </mergeCells>
  <pageMargins left="0.7" right="0.7" top="0.75" bottom="0.75" header="0.3" footer="0.3"/>
  <pageSetup scale="61" orientation="landscape" horizontalDpi="4294967293" r:id="rId1"/>
</worksheet>
</file>

<file path=xl/worksheets/sheet4.xml><?xml version="1.0" encoding="utf-8"?>
<worksheet xmlns="http://schemas.openxmlformats.org/spreadsheetml/2006/main" xmlns:r="http://schemas.openxmlformats.org/officeDocument/2006/relationships">
  <dimension ref="A1:O12"/>
  <sheetViews>
    <sheetView workbookViewId="0">
      <selection activeCell="D28" sqref="D28"/>
    </sheetView>
  </sheetViews>
  <sheetFormatPr defaultRowHeight="15"/>
  <cols>
    <col min="2" max="2" width="9" customWidth="1"/>
    <col min="7" max="7" width="12.28515625" customWidth="1"/>
    <col min="11" max="11" width="5.85546875" bestFit="1" customWidth="1"/>
    <col min="12" max="12" width="8.5703125" bestFit="1" customWidth="1"/>
    <col min="13" max="13" width="15.42578125" customWidth="1"/>
    <col min="15" max="15" width="21.7109375" customWidth="1"/>
  </cols>
  <sheetData>
    <row r="1" spans="1:15">
      <c r="A1" s="128">
        <v>41029</v>
      </c>
    </row>
    <row r="3" spans="1:15">
      <c r="C3" s="175" t="s">
        <v>193</v>
      </c>
      <c r="D3" s="182"/>
      <c r="E3" s="182"/>
      <c r="F3" s="182"/>
      <c r="G3" s="182"/>
      <c r="H3" s="182"/>
      <c r="I3" s="175" t="s">
        <v>194</v>
      </c>
      <c r="J3" s="182"/>
      <c r="K3" s="182"/>
      <c r="L3" s="190"/>
      <c r="M3" s="190"/>
      <c r="N3" s="126"/>
    </row>
    <row r="4" spans="1:15">
      <c r="C4" s="185" t="s">
        <v>159</v>
      </c>
      <c r="D4" s="185"/>
      <c r="E4" s="186" t="s">
        <v>189</v>
      </c>
      <c r="F4" s="185" t="s">
        <v>188</v>
      </c>
      <c r="G4" s="185"/>
      <c r="H4" s="188" t="s">
        <v>189</v>
      </c>
      <c r="I4" s="185" t="s">
        <v>159</v>
      </c>
      <c r="J4" s="185"/>
      <c r="K4" s="176" t="s">
        <v>189</v>
      </c>
      <c r="L4" s="185" t="s">
        <v>188</v>
      </c>
      <c r="M4" s="185"/>
      <c r="N4" s="191" t="s">
        <v>180</v>
      </c>
      <c r="O4" s="183" t="s">
        <v>190</v>
      </c>
    </row>
    <row r="5" spans="1:15">
      <c r="C5" s="77" t="s">
        <v>161</v>
      </c>
      <c r="D5" s="77" t="s">
        <v>146</v>
      </c>
      <c r="E5" s="187"/>
      <c r="F5" s="77" t="s">
        <v>161</v>
      </c>
      <c r="G5" s="77" t="s">
        <v>146</v>
      </c>
      <c r="H5" s="189"/>
      <c r="I5" s="77" t="s">
        <v>161</v>
      </c>
      <c r="J5" s="77" t="s">
        <v>146</v>
      </c>
      <c r="K5" s="177"/>
      <c r="L5" s="125" t="s">
        <v>161</v>
      </c>
      <c r="M5" s="125" t="s">
        <v>146</v>
      </c>
      <c r="N5" s="191"/>
      <c r="O5" s="184"/>
    </row>
    <row r="6" spans="1:15">
      <c r="B6" s="78" t="s">
        <v>36</v>
      </c>
      <c r="C6" s="62">
        <v>184</v>
      </c>
      <c r="D6" s="62">
        <v>3</v>
      </c>
      <c r="E6" s="62">
        <f>SUM(C6:D6)</f>
        <v>187</v>
      </c>
      <c r="F6" s="62">
        <v>126</v>
      </c>
      <c r="G6" s="62">
        <v>2</v>
      </c>
      <c r="H6" s="62">
        <f>F6+G6</f>
        <v>128</v>
      </c>
      <c r="I6" s="62">
        <v>184</v>
      </c>
      <c r="J6" s="62">
        <v>3</v>
      </c>
      <c r="K6" s="62">
        <f>I6+J6</f>
        <v>187</v>
      </c>
      <c r="L6" s="62">
        <v>126</v>
      </c>
      <c r="M6" s="62">
        <v>2</v>
      </c>
      <c r="N6" s="62">
        <v>128</v>
      </c>
      <c r="O6" s="62"/>
    </row>
    <row r="7" spans="1:15">
      <c r="B7" s="78" t="s">
        <v>39</v>
      </c>
      <c r="C7" s="62">
        <v>172</v>
      </c>
      <c r="D7" s="62">
        <v>19</v>
      </c>
      <c r="E7" s="62">
        <f t="shared" ref="E7:E11" si="0">SUM(C7:D7)</f>
        <v>191</v>
      </c>
      <c r="F7" s="62">
        <v>187</v>
      </c>
      <c r="G7" s="62">
        <v>11</v>
      </c>
      <c r="H7" s="62">
        <f t="shared" ref="H7:H11" si="1">F7+G7</f>
        <v>198</v>
      </c>
      <c r="I7" s="62">
        <v>172</v>
      </c>
      <c r="J7" s="62">
        <v>21</v>
      </c>
      <c r="K7" s="62">
        <f t="shared" ref="K7:K11" si="2">I7+J7</f>
        <v>193</v>
      </c>
      <c r="L7" s="127">
        <v>172</v>
      </c>
      <c r="M7" s="127">
        <v>11</v>
      </c>
      <c r="N7" s="127">
        <v>183</v>
      </c>
      <c r="O7" s="127" t="s">
        <v>191</v>
      </c>
    </row>
    <row r="8" spans="1:15">
      <c r="B8" s="78" t="s">
        <v>35</v>
      </c>
      <c r="C8" s="84">
        <v>212</v>
      </c>
      <c r="D8" s="84">
        <v>16</v>
      </c>
      <c r="E8" s="62">
        <f t="shared" si="0"/>
        <v>228</v>
      </c>
      <c r="F8" s="84">
        <v>158</v>
      </c>
      <c r="G8" s="84">
        <v>5</v>
      </c>
      <c r="H8" s="62">
        <f t="shared" si="1"/>
        <v>163</v>
      </c>
      <c r="I8" s="62">
        <v>229</v>
      </c>
      <c r="J8" s="62">
        <v>17</v>
      </c>
      <c r="K8" s="62">
        <f t="shared" si="2"/>
        <v>246</v>
      </c>
      <c r="L8" s="127">
        <v>176</v>
      </c>
      <c r="M8" s="127">
        <v>5</v>
      </c>
      <c r="N8" s="127">
        <v>181</v>
      </c>
      <c r="O8" s="127" t="s">
        <v>192</v>
      </c>
    </row>
    <row r="9" spans="1:15">
      <c r="B9" s="78" t="s">
        <v>124</v>
      </c>
      <c r="C9" s="62">
        <v>178</v>
      </c>
      <c r="D9" s="62">
        <v>0</v>
      </c>
      <c r="E9" s="62">
        <f t="shared" si="0"/>
        <v>178</v>
      </c>
      <c r="F9" s="62">
        <v>178</v>
      </c>
      <c r="G9" s="62">
        <v>0</v>
      </c>
      <c r="H9" s="62">
        <f t="shared" si="1"/>
        <v>178</v>
      </c>
      <c r="I9" s="62">
        <v>182</v>
      </c>
      <c r="J9" s="62">
        <v>0</v>
      </c>
      <c r="K9" s="62">
        <f t="shared" si="2"/>
        <v>182</v>
      </c>
      <c r="L9" s="127">
        <v>182</v>
      </c>
      <c r="M9" s="127">
        <v>0</v>
      </c>
      <c r="N9" s="127">
        <v>182</v>
      </c>
      <c r="O9" s="127" t="s">
        <v>192</v>
      </c>
    </row>
    <row r="10" spans="1:15">
      <c r="B10" s="78" t="s">
        <v>38</v>
      </c>
      <c r="C10" s="62">
        <v>131</v>
      </c>
      <c r="D10" s="62">
        <v>0</v>
      </c>
      <c r="E10" s="62">
        <f t="shared" si="0"/>
        <v>131</v>
      </c>
      <c r="F10" s="62">
        <v>131</v>
      </c>
      <c r="G10" s="62">
        <v>0</v>
      </c>
      <c r="H10" s="62">
        <f t="shared" si="1"/>
        <v>131</v>
      </c>
      <c r="I10" s="62">
        <v>131</v>
      </c>
      <c r="J10" s="62">
        <v>0</v>
      </c>
      <c r="K10" s="62">
        <f t="shared" si="2"/>
        <v>131</v>
      </c>
      <c r="L10" s="62">
        <v>131</v>
      </c>
      <c r="M10" s="62">
        <v>0</v>
      </c>
      <c r="N10" s="62">
        <v>131</v>
      </c>
      <c r="O10" s="62"/>
    </row>
    <row r="11" spans="1:15">
      <c r="B11" s="78" t="s">
        <v>37</v>
      </c>
      <c r="C11" s="62">
        <v>180</v>
      </c>
      <c r="D11" s="62">
        <v>3</v>
      </c>
      <c r="E11" s="62">
        <f t="shared" si="0"/>
        <v>183</v>
      </c>
      <c r="F11" s="62">
        <v>180</v>
      </c>
      <c r="G11" s="62">
        <v>3</v>
      </c>
      <c r="H11" s="62">
        <f t="shared" si="1"/>
        <v>183</v>
      </c>
      <c r="I11" s="62">
        <v>191</v>
      </c>
      <c r="J11" s="62">
        <v>3</v>
      </c>
      <c r="K11" s="62">
        <f t="shared" si="2"/>
        <v>194</v>
      </c>
      <c r="L11" s="127">
        <v>191</v>
      </c>
      <c r="M11" s="127">
        <v>3</v>
      </c>
      <c r="N11" s="127">
        <v>194</v>
      </c>
      <c r="O11" s="127" t="s">
        <v>192</v>
      </c>
    </row>
    <row r="12" spans="1:15">
      <c r="C12" s="80">
        <f t="shared" ref="C12:D12" si="3">SUM(C6:C11)</f>
        <v>1057</v>
      </c>
      <c r="D12" s="80">
        <f t="shared" si="3"/>
        <v>41</v>
      </c>
      <c r="E12" s="80">
        <f t="shared" ref="E12:J12" si="4">SUM(E6:E11)</f>
        <v>1098</v>
      </c>
      <c r="F12" s="80">
        <f t="shared" si="4"/>
        <v>960</v>
      </c>
      <c r="G12" s="80">
        <f t="shared" si="4"/>
        <v>21</v>
      </c>
      <c r="H12" s="80">
        <f t="shared" si="4"/>
        <v>981</v>
      </c>
      <c r="I12" s="80">
        <f t="shared" si="4"/>
        <v>1089</v>
      </c>
      <c r="J12" s="80">
        <f t="shared" si="4"/>
        <v>44</v>
      </c>
      <c r="K12" s="80">
        <f t="shared" ref="K12:N12" si="5">SUM(K6:K11)</f>
        <v>1133</v>
      </c>
      <c r="L12" s="80">
        <f t="shared" si="5"/>
        <v>978</v>
      </c>
      <c r="M12" s="80">
        <f t="shared" si="5"/>
        <v>21</v>
      </c>
      <c r="N12" s="80">
        <f t="shared" si="5"/>
        <v>999</v>
      </c>
      <c r="O12" s="62"/>
    </row>
  </sheetData>
  <mergeCells count="11">
    <mergeCell ref="C3:H3"/>
    <mergeCell ref="O4:O5"/>
    <mergeCell ref="C4:D4"/>
    <mergeCell ref="E4:E5"/>
    <mergeCell ref="F4:G4"/>
    <mergeCell ref="H4:H5"/>
    <mergeCell ref="I3:M3"/>
    <mergeCell ref="I4:J4"/>
    <mergeCell ref="L4:M4"/>
    <mergeCell ref="K4:K5"/>
    <mergeCell ref="N4:N5"/>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N77"/>
  <sheetViews>
    <sheetView zoomScale="75" zoomScaleNormal="75" workbookViewId="0">
      <pane xSplit="3" ySplit="10" topLeftCell="AA56" activePane="bottomRight" state="frozen"/>
      <selection pane="topRight" activeCell="D1" sqref="D1"/>
      <selection pane="bottomLeft" activeCell="A11" sqref="A11"/>
      <selection pane="bottomRight" activeCell="AK58" sqref="AK58"/>
    </sheetView>
  </sheetViews>
  <sheetFormatPr defaultColWidth="9.140625" defaultRowHeight="15"/>
  <cols>
    <col min="1" max="1" width="9.7109375" style="2" bestFit="1" customWidth="1"/>
    <col min="2" max="2" width="42.5703125" style="2" bestFit="1" customWidth="1"/>
    <col min="3" max="3" width="5.42578125" style="2" customWidth="1"/>
    <col min="4" max="4" width="9.28515625" style="51" customWidth="1"/>
    <col min="5" max="5" width="12.42578125" style="51" customWidth="1"/>
    <col min="6" max="6" width="14.7109375" style="51" customWidth="1"/>
    <col min="7" max="7" width="4" style="51" customWidth="1"/>
    <col min="8" max="10" width="10.85546875" customWidth="1"/>
    <col min="11" max="11" width="11.42578125" customWidth="1"/>
    <col min="12" max="12" width="12" customWidth="1"/>
    <col min="13" max="13" width="7.7109375" customWidth="1"/>
    <col min="14" max="14" width="8.28515625" customWidth="1"/>
    <col min="15" max="15" width="8.85546875" customWidth="1"/>
    <col min="16" max="16" width="8.7109375" customWidth="1"/>
    <col min="17" max="17" width="6" customWidth="1"/>
    <col min="18" max="18" width="5.7109375" customWidth="1"/>
    <col min="19" max="19" width="9.28515625" customWidth="1"/>
    <col min="20" max="20" width="8.140625" customWidth="1"/>
    <col min="21" max="22" width="12.140625" customWidth="1"/>
    <col min="23" max="23" width="10.28515625" style="73" customWidth="1"/>
    <col min="24" max="24" width="10.28515625" customWidth="1"/>
    <col min="25" max="30" width="10.5703125" customWidth="1"/>
    <col min="31" max="31" width="14.140625" customWidth="1"/>
    <col min="32" max="32" width="13" customWidth="1"/>
    <col min="33" max="33" width="14.5703125" bestFit="1" customWidth="1"/>
    <col min="34" max="34" width="6.7109375" customWidth="1"/>
    <col min="35" max="35" width="10.5703125" customWidth="1"/>
    <col min="36" max="36" width="10.5703125" bestFit="1" customWidth="1"/>
    <col min="37" max="37" width="12.140625" bestFit="1" customWidth="1"/>
    <col min="38" max="38" width="12.7109375" bestFit="1" customWidth="1"/>
    <col min="39" max="39" width="12.28515625" bestFit="1" customWidth="1"/>
  </cols>
  <sheetData>
    <row r="1" spans="1:40" ht="36">
      <c r="A1" s="52"/>
      <c r="B1" s="2" t="s">
        <v>137</v>
      </c>
      <c r="D1" s="63" t="s">
        <v>34</v>
      </c>
      <c r="E1" s="63" t="s">
        <v>139</v>
      </c>
      <c r="F1" s="63" t="s">
        <v>140</v>
      </c>
      <c r="G1" s="66"/>
      <c r="H1" s="106" t="s">
        <v>174</v>
      </c>
      <c r="I1" s="110" t="s">
        <v>155</v>
      </c>
      <c r="J1" s="192" t="s">
        <v>170</v>
      </c>
      <c r="K1" s="104"/>
    </row>
    <row r="2" spans="1:40">
      <c r="A2" s="48"/>
      <c r="B2" s="2" t="s">
        <v>51</v>
      </c>
      <c r="D2" s="64" t="s">
        <v>36</v>
      </c>
      <c r="E2" s="64">
        <v>371</v>
      </c>
      <c r="F2" s="65">
        <v>11270</v>
      </c>
      <c r="G2" s="67"/>
      <c r="H2" s="105">
        <v>5</v>
      </c>
      <c r="I2" s="111">
        <v>174</v>
      </c>
      <c r="J2" s="193"/>
      <c r="K2" s="103">
        <v>8.61</v>
      </c>
    </row>
    <row r="3" spans="1:40">
      <c r="A3" s="49"/>
      <c r="B3" s="2" t="s">
        <v>49</v>
      </c>
      <c r="D3" s="64" t="s">
        <v>39</v>
      </c>
      <c r="E3" s="64">
        <v>374</v>
      </c>
      <c r="F3" s="65">
        <v>13716</v>
      </c>
      <c r="G3" s="67"/>
      <c r="H3" s="105">
        <v>11</v>
      </c>
      <c r="I3" s="111">
        <v>296</v>
      </c>
      <c r="J3" s="193"/>
      <c r="K3" s="103"/>
      <c r="L3" s="68"/>
    </row>
    <row r="4" spans="1:40">
      <c r="A4" s="50"/>
      <c r="B4" s="2" t="s">
        <v>208</v>
      </c>
      <c r="D4" s="64" t="s">
        <v>35</v>
      </c>
      <c r="E4" s="64">
        <v>378</v>
      </c>
      <c r="F4" s="65">
        <v>25525</v>
      </c>
      <c r="G4" s="67"/>
      <c r="H4" s="105">
        <v>7</v>
      </c>
      <c r="I4" s="111">
        <v>926</v>
      </c>
      <c r="J4" s="193"/>
      <c r="K4" s="103">
        <v>7.72</v>
      </c>
    </row>
    <row r="5" spans="1:40">
      <c r="A5" s="109"/>
      <c r="B5" s="109"/>
      <c r="C5" s="109"/>
      <c r="D5" s="64" t="s">
        <v>124</v>
      </c>
      <c r="E5" s="64">
        <v>359</v>
      </c>
      <c r="F5" s="65">
        <v>5489</v>
      </c>
      <c r="G5" s="67"/>
      <c r="H5" s="105">
        <v>7</v>
      </c>
      <c r="I5" s="111">
        <v>69</v>
      </c>
      <c r="J5" s="193"/>
      <c r="K5" s="103"/>
    </row>
    <row r="6" spans="1:40">
      <c r="A6" s="51"/>
      <c r="D6" s="64" t="s">
        <v>38</v>
      </c>
      <c r="E6" s="64">
        <v>367</v>
      </c>
      <c r="F6" s="65">
        <v>8286</v>
      </c>
      <c r="G6" s="67"/>
      <c r="H6" s="105">
        <v>10</v>
      </c>
      <c r="I6" s="111">
        <v>221</v>
      </c>
      <c r="J6" s="193"/>
      <c r="L6" s="107"/>
    </row>
    <row r="7" spans="1:40" s="61" customFormat="1" ht="20.25" customHeight="1" thickBot="1">
      <c r="A7" s="51"/>
      <c r="B7" s="51"/>
      <c r="C7" s="51"/>
      <c r="D7" s="64" t="s">
        <v>37</v>
      </c>
      <c r="E7" s="64">
        <v>350</v>
      </c>
      <c r="F7" s="65">
        <v>3882</v>
      </c>
      <c r="G7" s="68"/>
      <c r="H7" s="105">
        <v>7</v>
      </c>
      <c r="I7" s="111">
        <v>31</v>
      </c>
      <c r="J7" s="194"/>
      <c r="W7" s="74"/>
    </row>
    <row r="8" spans="1:40" s="61" customFormat="1" ht="15.75" thickBot="1">
      <c r="A8" s="51"/>
      <c r="B8" s="51"/>
      <c r="C8" s="51"/>
      <c r="D8" s="132"/>
      <c r="E8" s="132"/>
      <c r="F8" s="68"/>
      <c r="G8" s="68"/>
      <c r="H8" s="133"/>
      <c r="I8" s="133"/>
      <c r="J8" s="134"/>
      <c r="W8" s="74"/>
    </row>
    <row r="9" spans="1:40" ht="40.5" customHeight="1" thickBot="1">
      <c r="D9" s="195" t="s">
        <v>215</v>
      </c>
      <c r="E9" s="196"/>
      <c r="F9" s="196"/>
      <c r="G9" s="196"/>
      <c r="H9" s="196"/>
      <c r="I9" s="196"/>
      <c r="J9" s="196"/>
      <c r="K9" s="196"/>
      <c r="L9" s="197"/>
      <c r="M9" s="201" t="s">
        <v>177</v>
      </c>
      <c r="N9" s="202"/>
      <c r="O9" s="202"/>
      <c r="P9" s="202"/>
      <c r="Q9" s="202"/>
      <c r="R9" s="202"/>
      <c r="S9" s="202"/>
      <c r="T9" s="202"/>
      <c r="U9" s="202"/>
      <c r="V9" s="202"/>
      <c r="W9" s="202"/>
      <c r="X9" s="202"/>
      <c r="Y9" s="202"/>
      <c r="Z9" s="202"/>
      <c r="AA9" s="203"/>
      <c r="AB9" s="201" t="s">
        <v>173</v>
      </c>
      <c r="AC9" s="202"/>
      <c r="AD9" s="202"/>
      <c r="AE9" s="202"/>
      <c r="AF9" s="203"/>
      <c r="AG9" s="198" t="s">
        <v>178</v>
      </c>
      <c r="AH9" s="199"/>
      <c r="AI9" s="199"/>
      <c r="AJ9" s="199"/>
      <c r="AK9" s="199"/>
      <c r="AL9" s="200"/>
    </row>
    <row r="10" spans="1:40" ht="25.5">
      <c r="A10" s="54" t="s">
        <v>34</v>
      </c>
      <c r="B10" s="54" t="s">
        <v>0</v>
      </c>
      <c r="C10" s="54" t="s">
        <v>204</v>
      </c>
      <c r="D10" s="108" t="s">
        <v>43</v>
      </c>
      <c r="E10" s="108" t="s">
        <v>42</v>
      </c>
      <c r="F10" s="108" t="s">
        <v>123</v>
      </c>
      <c r="G10" s="108" t="s">
        <v>136</v>
      </c>
      <c r="H10" s="108" t="s">
        <v>167</v>
      </c>
      <c r="I10" s="108" t="s">
        <v>166</v>
      </c>
      <c r="J10" s="108" t="s">
        <v>165</v>
      </c>
      <c r="K10" s="108" t="s">
        <v>138</v>
      </c>
      <c r="L10" s="108" t="s">
        <v>163</v>
      </c>
      <c r="M10" s="108" t="s">
        <v>145</v>
      </c>
      <c r="N10" s="108" t="s">
        <v>146</v>
      </c>
      <c r="O10" s="108" t="s">
        <v>141</v>
      </c>
      <c r="P10" s="112" t="s">
        <v>142</v>
      </c>
      <c r="Q10" s="108" t="s">
        <v>147</v>
      </c>
      <c r="R10" s="108" t="s">
        <v>152</v>
      </c>
      <c r="S10" s="108" t="s">
        <v>153</v>
      </c>
      <c r="T10" s="108" t="s">
        <v>148</v>
      </c>
      <c r="U10" s="108" t="s">
        <v>143</v>
      </c>
      <c r="V10" s="108" t="s">
        <v>150</v>
      </c>
      <c r="W10" s="108" t="s">
        <v>151</v>
      </c>
      <c r="X10" s="108" t="s">
        <v>149</v>
      </c>
      <c r="Y10" s="113" t="s">
        <v>164</v>
      </c>
      <c r="Z10" s="129" t="s">
        <v>212</v>
      </c>
      <c r="AA10" s="129" t="s">
        <v>206</v>
      </c>
      <c r="AB10" s="113" t="s">
        <v>151</v>
      </c>
      <c r="AC10" s="113" t="s">
        <v>149</v>
      </c>
      <c r="AD10" s="113" t="s">
        <v>175</v>
      </c>
      <c r="AE10" s="129" t="s">
        <v>211</v>
      </c>
      <c r="AF10" s="129" t="s">
        <v>207</v>
      </c>
      <c r="AG10" s="124" t="s">
        <v>213</v>
      </c>
      <c r="AH10" s="124" t="s">
        <v>209</v>
      </c>
      <c r="AI10" s="140" t="s">
        <v>179</v>
      </c>
      <c r="AJ10" s="136" t="s">
        <v>187</v>
      </c>
      <c r="AK10" s="164" t="s">
        <v>203</v>
      </c>
      <c r="AL10" s="154" t="s">
        <v>210</v>
      </c>
      <c r="AM10" s="137" t="s">
        <v>217</v>
      </c>
      <c r="AN10" s="137" t="s">
        <v>218</v>
      </c>
    </row>
    <row r="11" spans="1:40">
      <c r="A11" s="52" t="s">
        <v>36</v>
      </c>
      <c r="B11" s="52" t="s">
        <v>32</v>
      </c>
      <c r="C11" s="52">
        <v>53</v>
      </c>
      <c r="D11" s="53">
        <v>1930</v>
      </c>
      <c r="E11" s="53">
        <v>66</v>
      </c>
      <c r="F11" s="55">
        <f>371*(E11/E$22)</f>
        <v>30.645807259073841</v>
      </c>
      <c r="G11" s="55">
        <f>E11/F11</f>
        <v>2.1536388140161726</v>
      </c>
      <c r="H11" s="69">
        <f>E11/F$2</f>
        <v>5.8562555456965395E-3</v>
      </c>
      <c r="I11" s="70">
        <f>F11/E11</f>
        <v>0.46433041301627032</v>
      </c>
      <c r="J11" s="69">
        <f>$H$2*I11*H11</f>
        <v>1.3596187781310489E-2</v>
      </c>
      <c r="K11" s="71">
        <f>1/J11</f>
        <v>73.55002858776443</v>
      </c>
      <c r="L11" s="72">
        <f t="shared" ref="L11:L15" si="0">K11*F11</f>
        <v>2253.9999999999995</v>
      </c>
      <c r="M11" s="72">
        <v>10</v>
      </c>
      <c r="N11" s="72"/>
      <c r="O11" s="72">
        <f>M11+N11</f>
        <v>10</v>
      </c>
      <c r="P11" s="62">
        <v>12</v>
      </c>
      <c r="Q11" s="62">
        <v>19</v>
      </c>
      <c r="R11" s="62">
        <v>1</v>
      </c>
      <c r="S11" s="62">
        <v>0</v>
      </c>
      <c r="T11" s="62">
        <f>SUM(Q11:S11)</f>
        <v>20</v>
      </c>
      <c r="U11" s="62">
        <v>22</v>
      </c>
      <c r="V11" s="71">
        <f>(O11+P11)/(O11+P11+T11)</f>
        <v>0.52380952380952384</v>
      </c>
      <c r="W11" s="75">
        <f>(O11+P11+(V11*U11))/(O11+P11)</f>
        <v>1.5238095238095239</v>
      </c>
      <c r="X11" s="71">
        <f>K11*W11</f>
        <v>112.07623403849819</v>
      </c>
      <c r="Y11" s="114">
        <f>X11*O11</f>
        <v>1120.7623403849818</v>
      </c>
      <c r="Z11" s="72">
        <f>X11*(L$22/Y$22)</f>
        <v>188.39407032083534</v>
      </c>
      <c r="AA11" s="114">
        <f>O11*Z11</f>
        <v>1883.9407032083534</v>
      </c>
      <c r="AB11" s="120">
        <f>(O11*Z11)/((O11*Z11)+(P11*Z11))</f>
        <v>0.45454545454545459</v>
      </c>
      <c r="AC11" s="114">
        <f>K11*AB11</f>
        <v>33.431831176256566</v>
      </c>
      <c r="AD11" s="114">
        <f>O11*AC11</f>
        <v>334.31831176256566</v>
      </c>
      <c r="AE11" s="72">
        <f>AC11*(AA$22/AD$22)</f>
        <v>114.81079236914255</v>
      </c>
      <c r="AF11" s="72">
        <f>O11*AE11</f>
        <v>1148.1079236914254</v>
      </c>
      <c r="AG11" s="62">
        <f>(AE11^2)*O11</f>
        <v>131815.18044430361</v>
      </c>
      <c r="AH11" s="71">
        <f>$O$22*(AG22/(AF22^2))</f>
        <v>1.8476738272218463</v>
      </c>
      <c r="AI11" s="141">
        <v>32</v>
      </c>
      <c r="AJ11" s="120">
        <f>O11*AI11</f>
        <v>320</v>
      </c>
      <c r="AK11" s="165">
        <f>AI11*(AF$22/AJ$22)</f>
        <v>88.046874999999986</v>
      </c>
      <c r="AL11" s="155">
        <f>O11*AK11</f>
        <v>880.46874999999989</v>
      </c>
      <c r="AM11" s="138">
        <f>(AK11^2)*O11</f>
        <v>77522.521972656221</v>
      </c>
      <c r="AN11" s="71">
        <f>$O$22*(AM22/(AL22^2))</f>
        <v>1.0000000000000002</v>
      </c>
    </row>
    <row r="12" spans="1:40">
      <c r="A12" s="52" t="s">
        <v>36</v>
      </c>
      <c r="B12" s="52" t="s">
        <v>31</v>
      </c>
      <c r="C12" s="52">
        <v>52</v>
      </c>
      <c r="D12" s="53">
        <v>1912</v>
      </c>
      <c r="E12" s="53">
        <v>130</v>
      </c>
      <c r="F12" s="55">
        <f t="shared" ref="F12:F15" si="1">371*(E12/E$22)</f>
        <v>60.362953692115141</v>
      </c>
      <c r="G12" s="55">
        <f t="shared" ref="G12:G33" si="2">E12/F12</f>
        <v>2.1536388140161726</v>
      </c>
      <c r="H12" s="69">
        <f t="shared" ref="H12:H15" si="3">E12/F$2</f>
        <v>1.1535048802129548E-2</v>
      </c>
      <c r="I12" s="70">
        <f t="shared" ref="I12:I15" si="4">F12/E12</f>
        <v>0.46433041301627032</v>
      </c>
      <c r="J12" s="69">
        <f t="shared" ref="J12:J15" si="5">$H$2*I12*H12</f>
        <v>2.6780369872278238E-2</v>
      </c>
      <c r="K12" s="71">
        <f t="shared" ref="K12:K15" si="6">1/J12</f>
        <v>37.340783744557328</v>
      </c>
      <c r="L12" s="72">
        <f t="shared" si="0"/>
        <v>2254</v>
      </c>
      <c r="M12" s="62">
        <v>28</v>
      </c>
      <c r="N12" s="72"/>
      <c r="O12" s="72">
        <f t="shared" ref="O12:O75" si="7">M12+N12</f>
        <v>28</v>
      </c>
      <c r="P12" s="62">
        <v>11</v>
      </c>
      <c r="Q12" s="62">
        <v>17</v>
      </c>
      <c r="R12" s="62">
        <v>0</v>
      </c>
      <c r="S12" s="62">
        <v>0</v>
      </c>
      <c r="T12" s="62">
        <f t="shared" ref="T12:T75" si="8">SUM(Q12:S12)</f>
        <v>17</v>
      </c>
      <c r="U12" s="62">
        <v>18</v>
      </c>
      <c r="V12" s="71">
        <f t="shared" ref="V12:V75" si="9">(O12+P12)/(O12+P12+T12)</f>
        <v>0.6964285714285714</v>
      </c>
      <c r="W12" s="75">
        <f t="shared" ref="W12:W75" si="10">(O12+P12+(V12*U12))/(O12+P12)</f>
        <v>1.3214285714285714</v>
      </c>
      <c r="X12" s="71">
        <f t="shared" ref="X12:X21" si="11">K12*W12</f>
        <v>49.343178519593607</v>
      </c>
      <c r="Y12" s="114">
        <f t="shared" ref="Y12:Y33" si="12">X12*O12</f>
        <v>1381.608998548621</v>
      </c>
      <c r="Z12" s="72">
        <f t="shared" ref="Z12:Z13" si="13">X12*(L$22/Y$22)</f>
        <v>82.943206680915836</v>
      </c>
      <c r="AA12" s="114">
        <f t="shared" ref="AA12:AA14" si="14">O12*Z12</f>
        <v>2322.4097870656433</v>
      </c>
      <c r="AB12" s="120">
        <f t="shared" ref="AB12:AB14" si="15">(O12*Z12)/((O12*Z12)+(P12*Z12))</f>
        <v>0.71794871794871795</v>
      </c>
      <c r="AC12" s="114">
        <f t="shared" ref="AC12:AC15" si="16">K12*AB12</f>
        <v>26.808767816605261</v>
      </c>
      <c r="AD12" s="114">
        <f>O12*AC12</f>
        <v>750.64549886494729</v>
      </c>
      <c r="AE12" s="72">
        <f t="shared" ref="AE12:AE15" si="17">AC12*(AA$22/AD$22)</f>
        <v>92.066027111634298</v>
      </c>
      <c r="AF12" s="72">
        <f t="shared" ref="AF12:AF15" si="18">O12*AE12</f>
        <v>2577.8487591257604</v>
      </c>
      <c r="AG12" s="62">
        <f t="shared" ref="AG12:AG15" si="19">(AE12^2)*O12</f>
        <v>237332.2937473651</v>
      </c>
      <c r="AH12" s="62"/>
      <c r="AI12" s="141">
        <v>32</v>
      </c>
      <c r="AJ12" s="120">
        <f>O12*AI12</f>
        <v>896</v>
      </c>
      <c r="AK12" s="165">
        <f t="shared" ref="AK12:AK15" si="20">AI12*(AF$22/AJ$22)</f>
        <v>88.046874999999986</v>
      </c>
      <c r="AL12" s="155">
        <f>O12*AK12</f>
        <v>2465.3124999999995</v>
      </c>
      <c r="AM12" s="138">
        <f t="shared" ref="AM12:AM15" si="21">(AK12^2)*O12</f>
        <v>217063.06152343741</v>
      </c>
      <c r="AN12" s="62"/>
    </row>
    <row r="13" spans="1:40">
      <c r="A13" s="52" t="s">
        <v>36</v>
      </c>
      <c r="B13" s="52" t="s">
        <v>47</v>
      </c>
      <c r="C13" s="52">
        <v>56</v>
      </c>
      <c r="D13" s="53">
        <v>1982</v>
      </c>
      <c r="E13" s="53">
        <v>48</v>
      </c>
      <c r="F13" s="55">
        <f t="shared" si="1"/>
        <v>22.287859824780977</v>
      </c>
      <c r="G13" s="55">
        <f t="shared" si="2"/>
        <v>2.1536388140161726</v>
      </c>
      <c r="H13" s="69">
        <f t="shared" si="3"/>
        <v>4.2590949423247561E-3</v>
      </c>
      <c r="I13" s="70">
        <f t="shared" si="4"/>
        <v>0.46433041301627037</v>
      </c>
      <c r="J13" s="69">
        <f t="shared" si="5"/>
        <v>9.8881365682258106E-3</v>
      </c>
      <c r="K13" s="71">
        <f t="shared" si="6"/>
        <v>101.13128930817609</v>
      </c>
      <c r="L13" s="72">
        <f t="shared" si="0"/>
        <v>2254</v>
      </c>
      <c r="M13" s="62">
        <v>12</v>
      </c>
      <c r="N13" s="72"/>
      <c r="O13" s="72">
        <f t="shared" si="7"/>
        <v>12</v>
      </c>
      <c r="P13" s="62">
        <v>1</v>
      </c>
      <c r="Q13" s="62">
        <v>8</v>
      </c>
      <c r="R13" s="62">
        <v>0</v>
      </c>
      <c r="S13" s="62">
        <v>0</v>
      </c>
      <c r="T13" s="62">
        <f t="shared" si="8"/>
        <v>8</v>
      </c>
      <c r="U13" s="62">
        <v>12</v>
      </c>
      <c r="V13" s="71">
        <f t="shared" si="9"/>
        <v>0.61904761904761907</v>
      </c>
      <c r="W13" s="75">
        <f t="shared" si="10"/>
        <v>1.5714285714285716</v>
      </c>
      <c r="X13" s="71">
        <f t="shared" si="11"/>
        <v>158.92059748427673</v>
      </c>
      <c r="Y13" s="114">
        <f t="shared" si="12"/>
        <v>1907.0471698113206</v>
      </c>
      <c r="Z13" s="72">
        <f t="shared" si="13"/>
        <v>267.13690440024698</v>
      </c>
      <c r="AA13" s="114">
        <f t="shared" si="14"/>
        <v>3205.6428528029637</v>
      </c>
      <c r="AB13" s="120">
        <f t="shared" si="15"/>
        <v>0.92307692307692313</v>
      </c>
      <c r="AC13" s="114">
        <f t="shared" si="16"/>
        <v>93.351959361393327</v>
      </c>
      <c r="AD13" s="114">
        <f>O13*AC13</f>
        <v>1120.22351233672</v>
      </c>
      <c r="AE13" s="72">
        <f t="shared" si="17"/>
        <v>320.587058692298</v>
      </c>
      <c r="AF13" s="72">
        <f t="shared" si="18"/>
        <v>3847.044704307576</v>
      </c>
      <c r="AG13" s="62">
        <f t="shared" si="19"/>
        <v>1233312.7464117471</v>
      </c>
      <c r="AH13" s="62"/>
      <c r="AI13" s="141">
        <v>32</v>
      </c>
      <c r="AJ13" s="120">
        <f>O13*AI13</f>
        <v>384</v>
      </c>
      <c r="AK13" s="165">
        <f t="shared" si="20"/>
        <v>88.046874999999986</v>
      </c>
      <c r="AL13" s="155">
        <f>O13*AK13</f>
        <v>1056.5624999999998</v>
      </c>
      <c r="AM13" s="138">
        <f t="shared" si="21"/>
        <v>93027.026367187471</v>
      </c>
      <c r="AN13" s="62"/>
    </row>
    <row r="14" spans="1:40">
      <c r="A14" s="52" t="s">
        <v>36</v>
      </c>
      <c r="B14" s="52" t="s">
        <v>33</v>
      </c>
      <c r="C14" s="52">
        <v>51</v>
      </c>
      <c r="D14" s="53">
        <v>1926</v>
      </c>
      <c r="E14" s="53">
        <v>406</v>
      </c>
      <c r="F14" s="55">
        <f t="shared" si="1"/>
        <v>188.51814768460574</v>
      </c>
      <c r="G14" s="55">
        <f t="shared" si="2"/>
        <v>2.1536388140161726</v>
      </c>
      <c r="H14" s="69">
        <f t="shared" si="3"/>
        <v>3.6024844720496892E-2</v>
      </c>
      <c r="I14" s="70">
        <f t="shared" si="4"/>
        <v>0.46433041301627026</v>
      </c>
      <c r="J14" s="69">
        <f t="shared" si="5"/>
        <v>8.3637155139576619E-2</v>
      </c>
      <c r="K14" s="71">
        <f t="shared" si="6"/>
        <v>11.956408588158755</v>
      </c>
      <c r="L14" s="72">
        <f t="shared" si="0"/>
        <v>2254.0000000000005</v>
      </c>
      <c r="M14" s="62">
        <f>2+3+3+11+16+14+5</f>
        <v>54</v>
      </c>
      <c r="N14" s="72">
        <v>1</v>
      </c>
      <c r="O14" s="72">
        <f t="shared" si="7"/>
        <v>55</v>
      </c>
      <c r="P14" s="62">
        <f>3+0+3+12+2+0+0</f>
        <v>20</v>
      </c>
      <c r="Q14" s="62">
        <v>57</v>
      </c>
      <c r="R14" s="62">
        <v>14</v>
      </c>
      <c r="S14" s="62">
        <v>5</v>
      </c>
      <c r="T14" s="62">
        <f t="shared" si="8"/>
        <v>76</v>
      </c>
      <c r="U14" s="62">
        <v>88</v>
      </c>
      <c r="V14" s="71">
        <f t="shared" si="9"/>
        <v>0.49668874172185429</v>
      </c>
      <c r="W14" s="75">
        <f t="shared" si="10"/>
        <v>1.5827814569536425</v>
      </c>
      <c r="X14" s="71">
        <f t="shared" si="11"/>
        <v>18.924381805098957</v>
      </c>
      <c r="Y14" s="114">
        <f t="shared" si="12"/>
        <v>1040.8409992804427</v>
      </c>
      <c r="Z14" s="72">
        <f>X14*(L$22/Y$22)</f>
        <v>31.810859341896602</v>
      </c>
      <c r="AA14" s="114">
        <f t="shared" si="14"/>
        <v>1749.5972638043131</v>
      </c>
      <c r="AB14" s="120">
        <f t="shared" si="15"/>
        <v>0.73333333333333339</v>
      </c>
      <c r="AC14" s="114">
        <f t="shared" si="16"/>
        <v>8.7680329646497537</v>
      </c>
      <c r="AD14" s="114">
        <f>O14*AC14</f>
        <v>482.24181305573643</v>
      </c>
      <c r="AE14" s="72">
        <f t="shared" si="17"/>
        <v>30.110968402626359</v>
      </c>
      <c r="AF14" s="72">
        <f t="shared" si="18"/>
        <v>1656.1032621444497</v>
      </c>
      <c r="AG14" s="62">
        <f t="shared" si="19"/>
        <v>49866.872997917962</v>
      </c>
      <c r="AH14" s="62"/>
      <c r="AI14" s="141">
        <v>32</v>
      </c>
      <c r="AJ14" s="120">
        <f>O14*AI14</f>
        <v>1760</v>
      </c>
      <c r="AK14" s="165">
        <f t="shared" si="20"/>
        <v>88.046874999999986</v>
      </c>
      <c r="AL14" s="155">
        <f>O14*AK14</f>
        <v>4842.5781249999991</v>
      </c>
      <c r="AM14" s="138">
        <f t="shared" si="21"/>
        <v>426373.8708496092</v>
      </c>
      <c r="AN14" s="62"/>
    </row>
    <row r="15" spans="1:40">
      <c r="A15" s="52" t="s">
        <v>36</v>
      </c>
      <c r="B15" s="52" t="s">
        <v>122</v>
      </c>
      <c r="C15" s="52">
        <v>55</v>
      </c>
      <c r="D15" s="53">
        <v>1926</v>
      </c>
      <c r="E15" s="53">
        <v>149</v>
      </c>
      <c r="F15" s="55">
        <f t="shared" si="1"/>
        <v>69.185231539424279</v>
      </c>
      <c r="G15" s="55">
        <f t="shared" si="2"/>
        <v>2.1536388140161726</v>
      </c>
      <c r="H15" s="69">
        <f t="shared" si="3"/>
        <v>1.3220940550133098E-2</v>
      </c>
      <c r="I15" s="70">
        <f t="shared" si="4"/>
        <v>0.46433041301627032</v>
      </c>
      <c r="J15" s="69">
        <f t="shared" si="5"/>
        <v>3.0694423930534287E-2</v>
      </c>
      <c r="K15" s="71">
        <f t="shared" si="6"/>
        <v>32.579207293909079</v>
      </c>
      <c r="L15" s="72">
        <f t="shared" si="0"/>
        <v>2254</v>
      </c>
      <c r="M15" s="62">
        <v>22</v>
      </c>
      <c r="N15" s="72">
        <v>1</v>
      </c>
      <c r="O15" s="72">
        <f t="shared" si="7"/>
        <v>23</v>
      </c>
      <c r="P15" s="62">
        <v>6</v>
      </c>
      <c r="Q15" s="62">
        <v>9</v>
      </c>
      <c r="R15" s="62">
        <v>0</v>
      </c>
      <c r="S15" s="62">
        <v>8</v>
      </c>
      <c r="T15" s="62">
        <f t="shared" si="8"/>
        <v>17</v>
      </c>
      <c r="U15" s="62">
        <v>31</v>
      </c>
      <c r="V15" s="71">
        <f t="shared" si="9"/>
        <v>0.63043478260869568</v>
      </c>
      <c r="W15" s="75">
        <f t="shared" si="10"/>
        <v>1.6739130434782608</v>
      </c>
      <c r="X15" s="71">
        <f t="shared" si="11"/>
        <v>54.5347600354565</v>
      </c>
      <c r="Y15" s="114">
        <f t="shared" si="12"/>
        <v>1254.2994808154995</v>
      </c>
      <c r="Z15" s="72">
        <f>X15*(L$22/Y$22)</f>
        <v>91.669973613857735</v>
      </c>
      <c r="AA15" s="114">
        <f>O15*Z15</f>
        <v>2108.4093931187281</v>
      </c>
      <c r="AB15" s="120">
        <f>(O15*Z15)/((O15*Z15)+(P15*Z15))</f>
        <v>0.7931034482758621</v>
      </c>
      <c r="AC15" s="114">
        <f t="shared" si="16"/>
        <v>25.838681646893409</v>
      </c>
      <c r="AD15" s="114">
        <f>O15*AC15</f>
        <v>594.28967787854845</v>
      </c>
      <c r="AE15" s="72">
        <f t="shared" si="17"/>
        <v>88.734580466555983</v>
      </c>
      <c r="AF15" s="72">
        <f t="shared" si="18"/>
        <v>2040.8953507307876</v>
      </c>
      <c r="AG15" s="62">
        <f t="shared" si="19"/>
        <v>181097.99272324107</v>
      </c>
      <c r="AH15" s="62"/>
      <c r="AI15" s="141">
        <v>32</v>
      </c>
      <c r="AJ15" s="120">
        <f>O15*AI15</f>
        <v>736</v>
      </c>
      <c r="AK15" s="165">
        <f t="shared" si="20"/>
        <v>88.046874999999986</v>
      </c>
      <c r="AL15" s="155">
        <f>O15*AK15</f>
        <v>2025.0781249999998</v>
      </c>
      <c r="AM15" s="138">
        <f t="shared" si="21"/>
        <v>178301.80053710932</v>
      </c>
      <c r="AN15" s="62"/>
    </row>
    <row r="16" spans="1:40">
      <c r="A16" s="56" t="s">
        <v>36</v>
      </c>
      <c r="B16" s="56" t="s">
        <v>46</v>
      </c>
      <c r="C16" s="56">
        <v>50</v>
      </c>
      <c r="D16" s="53"/>
      <c r="E16" s="53">
        <v>50</v>
      </c>
      <c r="F16" s="55"/>
      <c r="G16" s="55"/>
      <c r="H16" s="69"/>
      <c r="I16" s="70"/>
      <c r="J16" s="69"/>
      <c r="K16" s="71"/>
      <c r="L16" s="72"/>
      <c r="M16" s="62">
        <v>17</v>
      </c>
      <c r="N16" s="72">
        <v>1</v>
      </c>
      <c r="O16" s="72">
        <f>M16+N16</f>
        <v>18</v>
      </c>
      <c r="P16" s="62">
        <v>1</v>
      </c>
      <c r="Q16" s="62">
        <v>31</v>
      </c>
      <c r="R16" s="62">
        <v>0</v>
      </c>
      <c r="S16" s="62">
        <v>0</v>
      </c>
      <c r="T16" s="62">
        <f>SUM(Q16:S16)</f>
        <v>31</v>
      </c>
      <c r="U16" s="62">
        <v>16</v>
      </c>
      <c r="V16" s="71">
        <f>(O16+P16)/(O16+P16+T16)</f>
        <v>0.38</v>
      </c>
      <c r="W16" s="75">
        <f>(O16+P16+(V16*U16))/(O16+P16)</f>
        <v>1.3199999999999998</v>
      </c>
      <c r="X16" s="71">
        <f>K16*W16</f>
        <v>0</v>
      </c>
      <c r="Y16" s="114">
        <f>X16*O16</f>
        <v>0</v>
      </c>
      <c r="Z16" s="114"/>
      <c r="AA16" s="114"/>
      <c r="AB16" s="114"/>
      <c r="AC16" s="114"/>
      <c r="AD16" s="114"/>
      <c r="AE16" s="114"/>
      <c r="AF16" s="114"/>
      <c r="AG16" s="62"/>
      <c r="AH16" s="62"/>
      <c r="AI16" s="142"/>
      <c r="AJ16" s="117"/>
      <c r="AK16" s="166"/>
      <c r="AL16" s="156"/>
      <c r="AM16" s="123"/>
      <c r="AN16" s="62"/>
    </row>
    <row r="17" spans="1:40">
      <c r="A17" s="56" t="s">
        <v>36</v>
      </c>
      <c r="B17" s="56" t="s">
        <v>48</v>
      </c>
      <c r="C17" s="56">
        <v>59</v>
      </c>
      <c r="D17" s="53"/>
      <c r="E17" s="53">
        <v>36</v>
      </c>
      <c r="F17" s="55"/>
      <c r="G17" s="55"/>
      <c r="H17" s="69"/>
      <c r="I17" s="70"/>
      <c r="J17" s="69"/>
      <c r="K17" s="71"/>
      <c r="L17" s="72"/>
      <c r="M17" s="62">
        <v>6</v>
      </c>
      <c r="N17" s="72"/>
      <c r="O17" s="72">
        <f>M17+N17</f>
        <v>6</v>
      </c>
      <c r="P17" s="62">
        <v>0</v>
      </c>
      <c r="Q17" s="62">
        <v>10</v>
      </c>
      <c r="R17" s="62">
        <v>0</v>
      </c>
      <c r="S17" s="62">
        <v>1</v>
      </c>
      <c r="T17" s="62">
        <f>SUM(Q17:S17)</f>
        <v>11</v>
      </c>
      <c r="U17" s="62">
        <v>36</v>
      </c>
      <c r="V17" s="71">
        <f>(O17+P17)/(O17+P17+T17)</f>
        <v>0.35294117647058826</v>
      </c>
      <c r="W17" s="75">
        <f>(O17+P17+(V17*U17))/(O17+P17)</f>
        <v>3.1176470588235294</v>
      </c>
      <c r="X17" s="71">
        <f>K17*W17</f>
        <v>0</v>
      </c>
      <c r="Y17" s="114">
        <f>X17*O17</f>
        <v>0</v>
      </c>
      <c r="Z17" s="114"/>
      <c r="AA17" s="114"/>
      <c r="AB17" s="114"/>
      <c r="AC17" s="114"/>
      <c r="AD17" s="114"/>
      <c r="AE17" s="114"/>
      <c r="AF17" s="114"/>
      <c r="AG17" s="62"/>
      <c r="AH17" s="62"/>
      <c r="AI17" s="142"/>
      <c r="AJ17" s="117"/>
      <c r="AK17" s="166"/>
      <c r="AL17" s="155"/>
      <c r="AM17" s="62"/>
      <c r="AN17" s="62"/>
    </row>
    <row r="18" spans="1:40">
      <c r="A18" s="56" t="s">
        <v>36</v>
      </c>
      <c r="B18" s="56" t="s">
        <v>121</v>
      </c>
      <c r="C18" s="56">
        <v>57</v>
      </c>
      <c r="D18" s="53"/>
      <c r="E18" s="53">
        <v>39</v>
      </c>
      <c r="F18" s="55"/>
      <c r="G18" s="55"/>
      <c r="H18" s="69"/>
      <c r="I18" s="70"/>
      <c r="J18" s="69"/>
      <c r="K18" s="71"/>
      <c r="L18" s="72"/>
      <c r="M18" s="62">
        <v>6</v>
      </c>
      <c r="N18" s="72"/>
      <c r="O18" s="72">
        <f t="shared" si="7"/>
        <v>6</v>
      </c>
      <c r="P18" s="62">
        <v>1</v>
      </c>
      <c r="Q18" s="62">
        <v>8</v>
      </c>
      <c r="R18" s="62">
        <v>0</v>
      </c>
      <c r="S18" s="62">
        <v>0</v>
      </c>
      <c r="T18" s="62">
        <f t="shared" si="8"/>
        <v>8</v>
      </c>
      <c r="U18" s="62">
        <v>23</v>
      </c>
      <c r="V18" s="71">
        <f t="shared" si="9"/>
        <v>0.46666666666666667</v>
      </c>
      <c r="W18" s="75">
        <f t="shared" si="10"/>
        <v>2.5333333333333337</v>
      </c>
      <c r="X18" s="71">
        <f t="shared" si="11"/>
        <v>0</v>
      </c>
      <c r="Y18" s="114">
        <f t="shared" si="12"/>
        <v>0</v>
      </c>
      <c r="Z18" s="114"/>
      <c r="AA18" s="114"/>
      <c r="AB18" s="114"/>
      <c r="AC18" s="114"/>
      <c r="AD18" s="114"/>
      <c r="AE18" s="114"/>
      <c r="AF18" s="114"/>
      <c r="AG18" s="62"/>
      <c r="AH18" s="62"/>
      <c r="AI18" s="142"/>
      <c r="AJ18" s="117"/>
      <c r="AK18" s="166"/>
      <c r="AL18" s="155"/>
      <c r="AM18" s="62"/>
      <c r="AN18" s="62"/>
    </row>
    <row r="19" spans="1:40">
      <c r="A19" s="56" t="s">
        <v>36</v>
      </c>
      <c r="B19" s="56" t="s">
        <v>132</v>
      </c>
      <c r="C19" s="56">
        <v>58</v>
      </c>
      <c r="D19" s="53"/>
      <c r="E19" s="53">
        <v>47</v>
      </c>
      <c r="F19" s="55"/>
      <c r="G19" s="55"/>
      <c r="H19" s="69"/>
      <c r="I19" s="70"/>
      <c r="J19" s="69"/>
      <c r="K19" s="71"/>
      <c r="L19" s="72"/>
      <c r="M19" s="62">
        <v>7</v>
      </c>
      <c r="N19" s="72"/>
      <c r="O19" s="72">
        <f t="shared" si="7"/>
        <v>7</v>
      </c>
      <c r="P19" s="62">
        <v>4</v>
      </c>
      <c r="Q19" s="62">
        <v>30</v>
      </c>
      <c r="R19" s="62">
        <v>0</v>
      </c>
      <c r="S19" s="62">
        <v>0</v>
      </c>
      <c r="T19" s="62">
        <f t="shared" si="8"/>
        <v>30</v>
      </c>
      <c r="U19" s="62">
        <v>21</v>
      </c>
      <c r="V19" s="71">
        <f t="shared" si="9"/>
        <v>0.26829268292682928</v>
      </c>
      <c r="W19" s="75">
        <f t="shared" si="10"/>
        <v>1.5121951219512193</v>
      </c>
      <c r="X19" s="71">
        <f t="shared" si="11"/>
        <v>0</v>
      </c>
      <c r="Y19" s="114">
        <f t="shared" si="12"/>
        <v>0</v>
      </c>
      <c r="Z19" s="114"/>
      <c r="AA19" s="114"/>
      <c r="AB19" s="114"/>
      <c r="AC19" s="114"/>
      <c r="AD19" s="114"/>
      <c r="AE19" s="114"/>
      <c r="AF19" s="114"/>
      <c r="AG19" s="62"/>
      <c r="AH19" s="62"/>
      <c r="AI19" s="142"/>
      <c r="AJ19" s="117"/>
      <c r="AK19" s="166"/>
      <c r="AL19" s="155"/>
      <c r="AM19" s="62"/>
      <c r="AN19" s="62"/>
    </row>
    <row r="20" spans="1:40">
      <c r="A20" s="56" t="s">
        <v>36</v>
      </c>
      <c r="B20" s="56" t="s">
        <v>133</v>
      </c>
      <c r="C20" s="56">
        <v>54</v>
      </c>
      <c r="D20" s="53"/>
      <c r="E20" s="53">
        <v>88</v>
      </c>
      <c r="F20" s="55"/>
      <c r="G20" s="55"/>
      <c r="H20" s="69"/>
      <c r="I20" s="70"/>
      <c r="J20" s="69"/>
      <c r="K20" s="71"/>
      <c r="L20" s="72"/>
      <c r="M20" s="62">
        <v>18</v>
      </c>
      <c r="N20" s="72"/>
      <c r="O20" s="72">
        <f t="shared" si="7"/>
        <v>18</v>
      </c>
      <c r="P20" s="62">
        <v>0</v>
      </c>
      <c r="Q20" s="62">
        <v>22</v>
      </c>
      <c r="R20" s="62">
        <v>0</v>
      </c>
      <c r="S20" s="62">
        <v>0</v>
      </c>
      <c r="T20" s="62">
        <f t="shared" si="8"/>
        <v>22</v>
      </c>
      <c r="U20" s="62">
        <v>39</v>
      </c>
      <c r="V20" s="71">
        <f t="shared" si="9"/>
        <v>0.45</v>
      </c>
      <c r="W20" s="75">
        <f t="shared" si="10"/>
        <v>1.9749999999999999</v>
      </c>
      <c r="X20" s="71">
        <f t="shared" si="11"/>
        <v>0</v>
      </c>
      <c r="Y20" s="114">
        <f t="shared" si="12"/>
        <v>0</v>
      </c>
      <c r="Z20" s="114"/>
      <c r="AA20" s="114"/>
      <c r="AB20" s="114"/>
      <c r="AC20" s="114"/>
      <c r="AD20" s="114"/>
      <c r="AE20" s="114"/>
      <c r="AF20" s="114"/>
      <c r="AG20" s="62"/>
      <c r="AH20" s="62"/>
      <c r="AI20" s="142"/>
      <c r="AJ20" s="117"/>
      <c r="AK20" s="166"/>
      <c r="AL20" s="155"/>
      <c r="AM20" s="62"/>
      <c r="AN20" s="62"/>
    </row>
    <row r="21" spans="1:40">
      <c r="A21" s="56" t="s">
        <v>36</v>
      </c>
      <c r="B21" s="56" t="s">
        <v>134</v>
      </c>
      <c r="C21" s="56">
        <v>60</v>
      </c>
      <c r="D21" s="53"/>
      <c r="E21" s="53">
        <v>63</v>
      </c>
      <c r="F21" s="55"/>
      <c r="G21" s="55"/>
      <c r="H21" s="69"/>
      <c r="I21" s="70"/>
      <c r="J21" s="69"/>
      <c r="K21" s="71"/>
      <c r="L21" s="72"/>
      <c r="M21" s="62">
        <v>4</v>
      </c>
      <c r="N21" s="72"/>
      <c r="O21" s="72">
        <f t="shared" si="7"/>
        <v>4</v>
      </c>
      <c r="P21" s="62">
        <v>8</v>
      </c>
      <c r="Q21" s="62">
        <v>7</v>
      </c>
      <c r="R21" s="62">
        <v>0</v>
      </c>
      <c r="S21" s="62">
        <v>0</v>
      </c>
      <c r="T21" s="62">
        <f t="shared" si="8"/>
        <v>7</v>
      </c>
      <c r="U21" s="62">
        <v>34</v>
      </c>
      <c r="V21" s="71">
        <f t="shared" si="9"/>
        <v>0.63157894736842102</v>
      </c>
      <c r="W21" s="75">
        <f t="shared" si="10"/>
        <v>2.7894736842105261</v>
      </c>
      <c r="X21" s="71">
        <f t="shared" si="11"/>
        <v>0</v>
      </c>
      <c r="Y21" s="114">
        <f t="shared" si="12"/>
        <v>0</v>
      </c>
      <c r="Z21" s="114"/>
      <c r="AA21" s="114"/>
      <c r="AB21" s="114"/>
      <c r="AC21" s="114"/>
      <c r="AD21" s="114"/>
      <c r="AE21" s="114"/>
      <c r="AF21" s="114"/>
      <c r="AG21" s="62"/>
      <c r="AH21" s="62"/>
      <c r="AI21" s="142"/>
      <c r="AJ21" s="117"/>
      <c r="AK21" s="166"/>
      <c r="AL21" s="155"/>
      <c r="AM21" s="62"/>
      <c r="AN21" s="62"/>
    </row>
    <row r="22" spans="1:40" s="87" customFormat="1">
      <c r="A22" s="88"/>
      <c r="B22" s="88"/>
      <c r="C22" s="88"/>
      <c r="D22" s="88"/>
      <c r="E22" s="88">
        <f>SUM(E11:E15)</f>
        <v>799</v>
      </c>
      <c r="F22" s="89">
        <f>SUM(F11:F15)</f>
        <v>371</v>
      </c>
      <c r="G22" s="89"/>
      <c r="H22" s="91"/>
      <c r="I22" s="90"/>
      <c r="J22" s="91"/>
      <c r="K22" s="91"/>
      <c r="L22" s="94">
        <f>SUM(L11:L21)</f>
        <v>11270</v>
      </c>
      <c r="M22" s="94">
        <f>SUM(M11:M15)</f>
        <v>126</v>
      </c>
      <c r="N22" s="94">
        <f>SUM(N11:N15)</f>
        <v>2</v>
      </c>
      <c r="O22" s="94">
        <f>SUM(O11:O15)</f>
        <v>128</v>
      </c>
      <c r="P22" s="93"/>
      <c r="Q22" s="93"/>
      <c r="R22" s="93"/>
      <c r="S22" s="93"/>
      <c r="T22" s="93"/>
      <c r="U22" s="93"/>
      <c r="V22" s="92"/>
      <c r="W22" s="95"/>
      <c r="X22" s="94"/>
      <c r="Y22" s="115">
        <f>SUM(Y11:Y21)</f>
        <v>6704.5589888408649</v>
      </c>
      <c r="Z22" s="115"/>
      <c r="AA22" s="115">
        <f>SUM(AA11:AA21)</f>
        <v>11270</v>
      </c>
      <c r="AB22" s="115"/>
      <c r="AC22" s="115"/>
      <c r="AD22" s="115">
        <f>SUM(AD11:AD21)</f>
        <v>3281.718813898518</v>
      </c>
      <c r="AE22" s="115">
        <f>SUM(AE11:AE21)</f>
        <v>646.30942704225708</v>
      </c>
      <c r="AF22" s="115">
        <f>SUM(AF11:AF21)</f>
        <v>11269.999999999998</v>
      </c>
      <c r="AG22" s="88">
        <f>SUM(AG11:AG21)</f>
        <v>1833425.0863245747</v>
      </c>
      <c r="AH22" s="88"/>
      <c r="AI22" s="143"/>
      <c r="AJ22" s="150">
        <f>SUM(AJ11:AJ21)</f>
        <v>4096</v>
      </c>
      <c r="AK22" s="162"/>
      <c r="AL22" s="157">
        <f>SUM(AL11:AL21)</f>
        <v>11269.999999999998</v>
      </c>
      <c r="AM22" s="93">
        <f>SUM(AM11:AM21)</f>
        <v>992288.28124999977</v>
      </c>
      <c r="AN22" s="93"/>
    </row>
    <row r="23" spans="1:40">
      <c r="A23" s="52" t="s">
        <v>39</v>
      </c>
      <c r="B23" s="52" t="s">
        <v>8</v>
      </c>
      <c r="C23" s="52">
        <v>24</v>
      </c>
      <c r="D23" s="53" t="s">
        <v>40</v>
      </c>
      <c r="E23" s="53">
        <v>23</v>
      </c>
      <c r="F23" s="55">
        <f>374*(E23/$E$36)</f>
        <v>8.6192384769539068</v>
      </c>
      <c r="G23" s="55">
        <f t="shared" si="2"/>
        <v>2.668449197860963</v>
      </c>
      <c r="H23" s="69">
        <f>E23/F$3</f>
        <v>1.6768737241178186E-3</v>
      </c>
      <c r="I23" s="69">
        <f>F23/E23</f>
        <v>0.37474949899799592</v>
      </c>
      <c r="J23" s="69">
        <f>$H$3*I23*H23</f>
        <v>6.9124834679566175E-3</v>
      </c>
      <c r="K23" s="71">
        <f>1/J23</f>
        <v>144.66580710616984</v>
      </c>
      <c r="L23" s="72">
        <f t="shared" ref="L23:L33" si="22">K23*F23</f>
        <v>1246.909090909091</v>
      </c>
      <c r="M23" s="72">
        <v>7</v>
      </c>
      <c r="N23" s="72">
        <v>0</v>
      </c>
      <c r="O23" s="72">
        <f t="shared" si="7"/>
        <v>7</v>
      </c>
      <c r="P23" s="62">
        <v>1</v>
      </c>
      <c r="Q23" s="62">
        <v>2</v>
      </c>
      <c r="R23" s="62">
        <v>0</v>
      </c>
      <c r="S23" s="62">
        <v>2</v>
      </c>
      <c r="T23" s="62">
        <f t="shared" ref="T23:T28" si="23">SUM(Q23:S23)</f>
        <v>4</v>
      </c>
      <c r="U23" s="62">
        <v>8</v>
      </c>
      <c r="V23" s="71">
        <f>(O23+P23)/(O23+P23+T23)</f>
        <v>0.66666666666666663</v>
      </c>
      <c r="W23" s="75">
        <f>(O23+P23+(V23*U23))/(O23+P23)</f>
        <v>1.6666666666666665</v>
      </c>
      <c r="X23" s="71">
        <f>K23*W23</f>
        <v>241.10967851028303</v>
      </c>
      <c r="Y23" s="114">
        <f>X23*O23</f>
        <v>1687.7677495719813</v>
      </c>
      <c r="Z23" s="72">
        <f>X23*(L$36/Y$36)</f>
        <v>225.22793959453122</v>
      </c>
      <c r="AA23" s="114">
        <f t="shared" ref="AA23:AA33" si="24">O23*Z23</f>
        <v>1576.5955771617187</v>
      </c>
      <c r="AB23" s="120">
        <f>(O23*Z23)/((O23*Z23)+(P23*Z23))</f>
        <v>0.87500000000000011</v>
      </c>
      <c r="AC23" s="114">
        <f>K23*AB23</f>
        <v>126.58258121789862</v>
      </c>
      <c r="AD23" s="114">
        <f>O23*AC23</f>
        <v>886.07806852529029</v>
      </c>
      <c r="AE23" s="72">
        <f>AC23*(AA$36/AD$36)</f>
        <v>240.10931711634018</v>
      </c>
      <c r="AF23" s="72">
        <f>O23*AE23</f>
        <v>1680.7652198143812</v>
      </c>
      <c r="AG23" s="62">
        <f>(AE23^2)*O23</f>
        <v>403567.38916252647</v>
      </c>
      <c r="AH23" s="71">
        <f>$O$36*(AG36/(AF36^2))</f>
        <v>2.840734620386371</v>
      </c>
      <c r="AI23" s="144">
        <v>17</v>
      </c>
      <c r="AJ23" s="120">
        <f t="shared" ref="AJ23:AJ33" si="25">O23*AI23</f>
        <v>119</v>
      </c>
      <c r="AK23" s="165">
        <f>AI23*(AF$36/AJ$36)</f>
        <v>75.451359171362213</v>
      </c>
      <c r="AL23" s="158">
        <f t="shared" ref="AL23:AL33" si="26">O23*AK23</f>
        <v>528.15951419953547</v>
      </c>
      <c r="AM23" s="138">
        <f>(AK23^2)*O23</f>
        <v>39850.353205641331</v>
      </c>
      <c r="AN23" s="71">
        <f>$O$36*(AM36/(AL36^2))</f>
        <v>1.0000022175252807</v>
      </c>
    </row>
    <row r="24" spans="1:40">
      <c r="A24" s="52" t="s">
        <v>39</v>
      </c>
      <c r="B24" s="57" t="s">
        <v>9</v>
      </c>
      <c r="C24" s="57">
        <v>25</v>
      </c>
      <c r="D24" s="53" t="s">
        <v>40</v>
      </c>
      <c r="E24" s="53">
        <v>14</v>
      </c>
      <c r="F24" s="55">
        <f t="shared" ref="F24:F32" si="27">374*(E24/$E$36)</f>
        <v>5.246492985971944</v>
      </c>
      <c r="G24" s="55">
        <f t="shared" si="2"/>
        <v>2.6684491978609626</v>
      </c>
      <c r="H24" s="69">
        <f t="shared" ref="H24:H33" si="28">E24/F$3</f>
        <v>1.0207057451151939E-3</v>
      </c>
      <c r="I24" s="69">
        <f t="shared" ref="I24:I33" si="29">F24/E24</f>
        <v>0.37474949899799598</v>
      </c>
      <c r="J24" s="69">
        <f t="shared" ref="J24:J33" si="30">$H$3*I24*H24</f>
        <v>4.2075986326692467E-3</v>
      </c>
      <c r="K24" s="71">
        <f t="shared" ref="K24:K33" si="31">1/J24</f>
        <v>237.66525453156467</v>
      </c>
      <c r="L24" s="72">
        <f t="shared" si="22"/>
        <v>1246.9090909090908</v>
      </c>
      <c r="M24" s="72">
        <v>5</v>
      </c>
      <c r="N24" s="72">
        <v>0</v>
      </c>
      <c r="O24" s="72">
        <f>M24+N24</f>
        <v>5</v>
      </c>
      <c r="P24" s="62">
        <v>0</v>
      </c>
      <c r="Q24" s="62">
        <v>0</v>
      </c>
      <c r="R24" s="62">
        <v>0</v>
      </c>
      <c r="S24" s="62">
        <v>0</v>
      </c>
      <c r="T24" s="62">
        <f t="shared" si="23"/>
        <v>0</v>
      </c>
      <c r="U24" s="62">
        <v>2</v>
      </c>
      <c r="V24" s="71">
        <f>(O24+P24)/(O24+P24+T24)</f>
        <v>1</v>
      </c>
      <c r="W24" s="75">
        <f t="shared" ref="W24:W33" si="32">(O24+P24+(V24*U24))/(O24+P24)</f>
        <v>1.4</v>
      </c>
      <c r="X24" s="71">
        <f t="shared" ref="X24:X33" si="33">K24*W24</f>
        <v>332.73135634419054</v>
      </c>
      <c r="Y24" s="114">
        <f t="shared" si="12"/>
        <v>1663.6567817209527</v>
      </c>
      <c r="Z24" s="72">
        <f t="shared" ref="Z24:Z33" si="34">X24*(L$36/Y$36)</f>
        <v>310.81455664045302</v>
      </c>
      <c r="AA24" s="114">
        <f t="shared" si="24"/>
        <v>1554.0727832022651</v>
      </c>
      <c r="AB24" s="120">
        <f t="shared" ref="AB24:AB33" si="35">(O24*Z24)/((O24*Z24)+(P24*Z24))</f>
        <v>1</v>
      </c>
      <c r="AC24" s="114">
        <f t="shared" ref="AC24:AC33" si="36">K24*AB24</f>
        <v>237.66525453156467</v>
      </c>
      <c r="AD24" s="114">
        <f t="shared" ref="AD24:AD33" si="37">O24*AC24</f>
        <v>1188.3262726578234</v>
      </c>
      <c r="AE24" s="72">
        <f t="shared" ref="AE24:AE33" si="38">AC24*(AA$36/AD$36)</f>
        <v>450.81749336129161</v>
      </c>
      <c r="AF24" s="72">
        <f t="shared" ref="AF24:AF33" si="39">O24*AE24</f>
        <v>2254.087466806458</v>
      </c>
      <c r="AG24" s="62">
        <f t="shared" ref="AG24:AG32" si="40">(AE24^2)*O24</f>
        <v>1016182.0616027911</v>
      </c>
      <c r="AH24" s="121"/>
      <c r="AI24" s="144">
        <v>17</v>
      </c>
      <c r="AJ24" s="120">
        <f t="shared" si="25"/>
        <v>85</v>
      </c>
      <c r="AK24" s="165">
        <f t="shared" ref="AK24:AK33" si="41">AI24*(AF$36/AJ$36)</f>
        <v>75.451359171362213</v>
      </c>
      <c r="AL24" s="158">
        <f t="shared" si="26"/>
        <v>377.2567958568111</v>
      </c>
      <c r="AM24" s="138">
        <f t="shared" ref="AM24:AM33" si="42">(AK24^2)*O24</f>
        <v>28464.538004029524</v>
      </c>
      <c r="AN24" s="62"/>
    </row>
    <row r="25" spans="1:40">
      <c r="A25" s="52" t="s">
        <v>39</v>
      </c>
      <c r="B25" s="57" t="s">
        <v>10</v>
      </c>
      <c r="C25" s="57">
        <v>26</v>
      </c>
      <c r="D25" s="53" t="s">
        <v>40</v>
      </c>
      <c r="E25" s="53">
        <v>11</v>
      </c>
      <c r="F25" s="55">
        <f t="shared" si="27"/>
        <v>4.1222444889779561</v>
      </c>
      <c r="G25" s="55">
        <f t="shared" si="2"/>
        <v>2.6684491978609626</v>
      </c>
      <c r="H25" s="69">
        <f t="shared" si="28"/>
        <v>8.0198308544765235E-4</v>
      </c>
      <c r="I25" s="69">
        <f t="shared" si="29"/>
        <v>0.37474949899799603</v>
      </c>
      <c r="J25" s="69">
        <f t="shared" si="30"/>
        <v>3.3059703542401221E-3</v>
      </c>
      <c r="K25" s="71">
        <f t="shared" si="31"/>
        <v>302.48305122199145</v>
      </c>
      <c r="L25" s="72">
        <f t="shared" si="22"/>
        <v>1246.909090909091</v>
      </c>
      <c r="M25" s="72">
        <v>2</v>
      </c>
      <c r="N25" s="72">
        <v>0</v>
      </c>
      <c r="O25" s="72">
        <f>M25+N25</f>
        <v>2</v>
      </c>
      <c r="P25" s="62">
        <v>0</v>
      </c>
      <c r="Q25" s="62">
        <v>0</v>
      </c>
      <c r="R25" s="62">
        <v>0</v>
      </c>
      <c r="S25" s="62">
        <v>1</v>
      </c>
      <c r="T25" s="62">
        <f t="shared" si="23"/>
        <v>1</v>
      </c>
      <c r="U25" s="62">
        <v>3</v>
      </c>
      <c r="V25" s="71">
        <f>(O25+P25)/(O25+P25+T25)</f>
        <v>0.66666666666666663</v>
      </c>
      <c r="W25" s="75">
        <f t="shared" si="32"/>
        <v>2</v>
      </c>
      <c r="X25" s="71">
        <f t="shared" si="33"/>
        <v>604.96610244398289</v>
      </c>
      <c r="Y25" s="114">
        <f t="shared" si="12"/>
        <v>1209.9322048879658</v>
      </c>
      <c r="Z25" s="72">
        <f t="shared" si="34"/>
        <v>565.11737570991465</v>
      </c>
      <c r="AA25" s="114">
        <f t="shared" si="24"/>
        <v>1130.2347514198293</v>
      </c>
      <c r="AB25" s="120">
        <f t="shared" si="35"/>
        <v>1</v>
      </c>
      <c r="AC25" s="114">
        <f t="shared" si="36"/>
        <v>302.48305122199145</v>
      </c>
      <c r="AD25" s="114">
        <f t="shared" si="37"/>
        <v>604.96610244398289</v>
      </c>
      <c r="AE25" s="72">
        <f t="shared" si="38"/>
        <v>573.76771882346213</v>
      </c>
      <c r="AF25" s="72">
        <f t="shared" si="39"/>
        <v>1147.5354376469243</v>
      </c>
      <c r="AG25" s="62">
        <f t="shared" si="40"/>
        <v>658418.79032775899</v>
      </c>
      <c r="AH25" s="121"/>
      <c r="AI25" s="144">
        <v>17</v>
      </c>
      <c r="AJ25" s="120">
        <f t="shared" si="25"/>
        <v>34</v>
      </c>
      <c r="AK25" s="165">
        <f t="shared" si="41"/>
        <v>75.451359171362213</v>
      </c>
      <c r="AL25" s="158">
        <f t="shared" si="26"/>
        <v>150.90271834272443</v>
      </c>
      <c r="AM25" s="138">
        <f t="shared" si="42"/>
        <v>11385.815201611809</v>
      </c>
      <c r="AN25" s="62"/>
    </row>
    <row r="26" spans="1:40">
      <c r="A26" s="52" t="s">
        <v>39</v>
      </c>
      <c r="B26" s="57" t="s">
        <v>11</v>
      </c>
      <c r="C26" s="57">
        <v>27</v>
      </c>
      <c r="D26" s="53">
        <v>1966</v>
      </c>
      <c r="E26" s="53">
        <v>16</v>
      </c>
      <c r="F26" s="55">
        <f t="shared" si="27"/>
        <v>5.9959919839679356</v>
      </c>
      <c r="G26" s="55">
        <f t="shared" si="2"/>
        <v>2.6684491978609626</v>
      </c>
      <c r="H26" s="69">
        <f t="shared" si="28"/>
        <v>1.1665208515602217E-3</v>
      </c>
      <c r="I26" s="69">
        <f t="shared" si="29"/>
        <v>0.37474949899799598</v>
      </c>
      <c r="J26" s="69">
        <f t="shared" si="30"/>
        <v>4.8086841516219968E-3</v>
      </c>
      <c r="K26" s="71">
        <f t="shared" si="31"/>
        <v>207.95709771511906</v>
      </c>
      <c r="L26" s="72">
        <f t="shared" si="22"/>
        <v>1246.9090909090905</v>
      </c>
      <c r="M26" s="72">
        <v>3</v>
      </c>
      <c r="N26" s="72">
        <v>0</v>
      </c>
      <c r="O26" s="72">
        <f>M26+N26</f>
        <v>3</v>
      </c>
      <c r="P26" s="62">
        <v>1</v>
      </c>
      <c r="Q26" s="62">
        <v>0</v>
      </c>
      <c r="R26" s="62">
        <v>0</v>
      </c>
      <c r="S26" s="62">
        <v>0</v>
      </c>
      <c r="T26" s="62">
        <f t="shared" si="23"/>
        <v>0</v>
      </c>
      <c r="U26" s="62">
        <v>6</v>
      </c>
      <c r="V26" s="71">
        <f t="shared" si="9"/>
        <v>1</v>
      </c>
      <c r="W26" s="75">
        <f t="shared" si="32"/>
        <v>2.5</v>
      </c>
      <c r="X26" s="71">
        <f t="shared" si="33"/>
        <v>519.89274428779765</v>
      </c>
      <c r="Y26" s="114">
        <f t="shared" si="12"/>
        <v>1559.6782328633931</v>
      </c>
      <c r="Z26" s="72">
        <f t="shared" si="34"/>
        <v>485.64774475070783</v>
      </c>
      <c r="AA26" s="114">
        <f t="shared" si="24"/>
        <v>1456.9432342521236</v>
      </c>
      <c r="AB26" s="120">
        <f t="shared" si="35"/>
        <v>0.75000000000000011</v>
      </c>
      <c r="AC26" s="114">
        <f t="shared" si="36"/>
        <v>155.96782328633932</v>
      </c>
      <c r="AD26" s="114">
        <f t="shared" si="37"/>
        <v>467.90346985901795</v>
      </c>
      <c r="AE26" s="72">
        <f t="shared" si="38"/>
        <v>295.84898001834762</v>
      </c>
      <c r="AF26" s="72">
        <f t="shared" si="39"/>
        <v>887.5469400550428</v>
      </c>
      <c r="AG26" s="62">
        <f t="shared" si="40"/>
        <v>262579.85693368997</v>
      </c>
      <c r="AH26" s="62"/>
      <c r="AI26" s="144">
        <v>17</v>
      </c>
      <c r="AJ26" s="120">
        <f t="shared" si="25"/>
        <v>51</v>
      </c>
      <c r="AK26" s="165">
        <f t="shared" si="41"/>
        <v>75.451359171362213</v>
      </c>
      <c r="AL26" s="158">
        <f t="shared" si="26"/>
        <v>226.35407751408664</v>
      </c>
      <c r="AM26" s="138">
        <f t="shared" si="42"/>
        <v>17078.722802417713</v>
      </c>
      <c r="AN26" s="62"/>
    </row>
    <row r="27" spans="1:40">
      <c r="A27" s="52" t="s">
        <v>39</v>
      </c>
      <c r="B27" s="57" t="s">
        <v>12</v>
      </c>
      <c r="C27" s="57">
        <v>28</v>
      </c>
      <c r="D27" s="53" t="s">
        <v>40</v>
      </c>
      <c r="E27" s="53">
        <v>92</v>
      </c>
      <c r="F27" s="55">
        <f t="shared" si="27"/>
        <v>34.476953907815627</v>
      </c>
      <c r="G27" s="55">
        <f t="shared" si="2"/>
        <v>2.668449197860963</v>
      </c>
      <c r="H27" s="69">
        <f t="shared" si="28"/>
        <v>6.7074948964712744E-3</v>
      </c>
      <c r="I27" s="69">
        <f t="shared" si="29"/>
        <v>0.37474949899799592</v>
      </c>
      <c r="J27" s="69">
        <f t="shared" si="30"/>
        <v>2.764993387182647E-2</v>
      </c>
      <c r="K27" s="71">
        <f t="shared" si="31"/>
        <v>36.166451776542459</v>
      </c>
      <c r="L27" s="72">
        <f t="shared" si="22"/>
        <v>1246.909090909091</v>
      </c>
      <c r="M27" s="72">
        <v>16</v>
      </c>
      <c r="N27" s="72">
        <v>2</v>
      </c>
      <c r="O27" s="72">
        <v>16</v>
      </c>
      <c r="P27" s="62">
        <v>2</v>
      </c>
      <c r="Q27" s="62">
        <v>3</v>
      </c>
      <c r="R27" s="62">
        <v>0</v>
      </c>
      <c r="S27" s="62">
        <v>0</v>
      </c>
      <c r="T27" s="62">
        <f t="shared" si="23"/>
        <v>3</v>
      </c>
      <c r="U27" s="62">
        <v>27</v>
      </c>
      <c r="V27" s="71">
        <f t="shared" si="9"/>
        <v>0.8571428571428571</v>
      </c>
      <c r="W27" s="75">
        <f t="shared" si="32"/>
        <v>2.2857142857142856</v>
      </c>
      <c r="X27" s="71">
        <f t="shared" si="33"/>
        <v>82.666175489239905</v>
      </c>
      <c r="Y27" s="114">
        <f t="shared" si="12"/>
        <v>1322.6588078278385</v>
      </c>
      <c r="Z27" s="72">
        <f t="shared" si="34"/>
        <v>77.221007860982141</v>
      </c>
      <c r="AA27" s="114">
        <f t="shared" si="24"/>
        <v>1235.5361257757143</v>
      </c>
      <c r="AB27" s="120">
        <f t="shared" si="35"/>
        <v>0.88888888888888895</v>
      </c>
      <c r="AC27" s="114">
        <f t="shared" si="36"/>
        <v>32.147957134704413</v>
      </c>
      <c r="AD27" s="114">
        <f t="shared" si="37"/>
        <v>514.36731415527061</v>
      </c>
      <c r="AE27" s="72">
        <f t="shared" si="38"/>
        <v>60.980144029546715</v>
      </c>
      <c r="AF27" s="72">
        <f t="shared" si="39"/>
        <v>975.68230447274743</v>
      </c>
      <c r="AG27" s="62">
        <f t="shared" si="40"/>
        <v>59497.247453828189</v>
      </c>
      <c r="AH27" s="121"/>
      <c r="AI27" s="144">
        <v>17</v>
      </c>
      <c r="AJ27" s="120">
        <f t="shared" si="25"/>
        <v>272</v>
      </c>
      <c r="AK27" s="165">
        <f t="shared" si="41"/>
        <v>75.451359171362213</v>
      </c>
      <c r="AL27" s="158">
        <f t="shared" si="26"/>
        <v>1207.2217467417954</v>
      </c>
      <c r="AM27" s="138">
        <f t="shared" si="42"/>
        <v>91086.521612894474</v>
      </c>
      <c r="AN27" s="62"/>
    </row>
    <row r="28" spans="1:40">
      <c r="A28" s="52" t="s">
        <v>39</v>
      </c>
      <c r="B28" s="57" t="s">
        <v>6</v>
      </c>
      <c r="C28" s="57">
        <v>22</v>
      </c>
      <c r="D28" s="53">
        <v>1984</v>
      </c>
      <c r="E28" s="53">
        <v>52</v>
      </c>
      <c r="F28" s="55">
        <f t="shared" si="27"/>
        <v>19.486973947895791</v>
      </c>
      <c r="G28" s="55">
        <f t="shared" si="2"/>
        <v>2.6684491978609626</v>
      </c>
      <c r="H28" s="69">
        <f t="shared" si="28"/>
        <v>3.7911927675707202E-3</v>
      </c>
      <c r="I28" s="69">
        <f t="shared" si="29"/>
        <v>0.37474949899799598</v>
      </c>
      <c r="J28" s="69">
        <f t="shared" si="30"/>
        <v>1.5628223492771487E-2</v>
      </c>
      <c r="K28" s="71">
        <f t="shared" si="31"/>
        <v>63.986799296959724</v>
      </c>
      <c r="L28" s="72">
        <f t="shared" si="22"/>
        <v>1246.9090909090908</v>
      </c>
      <c r="M28" s="72">
        <v>11</v>
      </c>
      <c r="N28" s="72">
        <v>1</v>
      </c>
      <c r="O28" s="72">
        <f>M28+N28</f>
        <v>12</v>
      </c>
      <c r="P28" s="62">
        <v>2</v>
      </c>
      <c r="Q28" s="62">
        <v>7</v>
      </c>
      <c r="R28" s="62">
        <v>0</v>
      </c>
      <c r="S28" s="62">
        <v>0</v>
      </c>
      <c r="T28" s="62">
        <f t="shared" si="23"/>
        <v>7</v>
      </c>
      <c r="U28" s="62">
        <v>20</v>
      </c>
      <c r="V28" s="71">
        <f>(O28+P28)/(O28+P28+T28)</f>
        <v>0.66666666666666663</v>
      </c>
      <c r="W28" s="75">
        <f t="shared" si="32"/>
        <v>1.9523809523809523</v>
      </c>
      <c r="X28" s="71">
        <f t="shared" si="33"/>
        <v>124.92660815120708</v>
      </c>
      <c r="Y28" s="114">
        <f t="shared" si="12"/>
        <v>1499.119297814485</v>
      </c>
      <c r="Z28" s="72">
        <f t="shared" si="34"/>
        <v>116.697773097606</v>
      </c>
      <c r="AA28" s="114">
        <f t="shared" si="24"/>
        <v>1400.3732771712721</v>
      </c>
      <c r="AB28" s="120">
        <f t="shared" si="35"/>
        <v>0.8571428571428571</v>
      </c>
      <c r="AC28" s="114">
        <f t="shared" si="36"/>
        <v>54.845827968822618</v>
      </c>
      <c r="AD28" s="114">
        <f t="shared" si="37"/>
        <v>658.14993562587142</v>
      </c>
      <c r="AE28" s="72">
        <f t="shared" si="38"/>
        <v>104.03480616029806</v>
      </c>
      <c r="AF28" s="72">
        <f t="shared" si="39"/>
        <v>1248.4176739235768</v>
      </c>
      <c r="AG28" s="62">
        <f t="shared" si="40"/>
        <v>129878.89071372949</v>
      </c>
      <c r="AH28" s="121"/>
      <c r="AI28" s="144">
        <v>17</v>
      </c>
      <c r="AJ28" s="120">
        <f t="shared" si="25"/>
        <v>204</v>
      </c>
      <c r="AK28" s="165">
        <f t="shared" si="41"/>
        <v>75.451359171362213</v>
      </c>
      <c r="AL28" s="158">
        <f t="shared" si="26"/>
        <v>905.41631005634656</v>
      </c>
      <c r="AM28" s="138">
        <f t="shared" si="42"/>
        <v>68314.891209670852</v>
      </c>
      <c r="AN28" s="62"/>
    </row>
    <row r="29" spans="1:40">
      <c r="A29" s="52" t="s">
        <v>39</v>
      </c>
      <c r="B29" s="52" t="s">
        <v>7</v>
      </c>
      <c r="C29" s="52">
        <v>23</v>
      </c>
      <c r="D29" s="53">
        <v>1984</v>
      </c>
      <c r="E29" s="53">
        <v>59</v>
      </c>
      <c r="F29" s="55">
        <f t="shared" si="27"/>
        <v>22.110220440881761</v>
      </c>
      <c r="G29" s="55">
        <f t="shared" si="2"/>
        <v>2.668449197860963</v>
      </c>
      <c r="H29" s="69">
        <f t="shared" si="28"/>
        <v>4.301545640128317E-3</v>
      </c>
      <c r="I29" s="69">
        <f t="shared" si="29"/>
        <v>0.37474949899799598</v>
      </c>
      <c r="J29" s="69">
        <f t="shared" si="30"/>
        <v>1.7732022809106109E-2</v>
      </c>
      <c r="K29" s="71">
        <f t="shared" si="31"/>
        <v>56.395145143083148</v>
      </c>
      <c r="L29" s="72">
        <f t="shared" si="22"/>
        <v>1246.9090909090908</v>
      </c>
      <c r="M29" s="72">
        <v>10</v>
      </c>
      <c r="N29" s="72">
        <v>1</v>
      </c>
      <c r="O29" s="72">
        <f t="shared" ref="O29:O33" si="43">M29+N29</f>
        <v>11</v>
      </c>
      <c r="P29" s="62">
        <v>0</v>
      </c>
      <c r="Q29" s="62">
        <v>1</v>
      </c>
      <c r="R29" s="62">
        <v>3</v>
      </c>
      <c r="S29" s="62">
        <v>0</v>
      </c>
      <c r="T29" s="62">
        <f t="shared" si="8"/>
        <v>4</v>
      </c>
      <c r="U29" s="62">
        <v>20</v>
      </c>
      <c r="V29" s="71">
        <f>(O29+P29)/(O29+P29+T29)</f>
        <v>0.73333333333333328</v>
      </c>
      <c r="W29" s="75">
        <f t="shared" si="32"/>
        <v>2.333333333333333</v>
      </c>
      <c r="X29" s="71">
        <f t="shared" si="33"/>
        <v>131.58867200052734</v>
      </c>
      <c r="Y29" s="114">
        <f t="shared" si="12"/>
        <v>1447.4753920058008</v>
      </c>
      <c r="Z29" s="72">
        <f t="shared" si="34"/>
        <v>122.92101110074415</v>
      </c>
      <c r="AA29" s="114">
        <f t="shared" si="24"/>
        <v>1352.1311221081858</v>
      </c>
      <c r="AB29" s="120">
        <f t="shared" si="35"/>
        <v>1</v>
      </c>
      <c r="AC29" s="114">
        <f t="shared" si="36"/>
        <v>56.395145143083148</v>
      </c>
      <c r="AD29" s="114">
        <f t="shared" si="37"/>
        <v>620.34659657391467</v>
      </c>
      <c r="AE29" s="72">
        <f t="shared" si="38"/>
        <v>106.97364249250988</v>
      </c>
      <c r="AF29" s="72">
        <f t="shared" si="39"/>
        <v>1176.7100674176088</v>
      </c>
      <c r="AG29" s="62">
        <f t="shared" si="40"/>
        <v>125876.96206926847</v>
      </c>
      <c r="AH29" s="62"/>
      <c r="AI29" s="144">
        <v>17</v>
      </c>
      <c r="AJ29" s="120">
        <f t="shared" si="25"/>
        <v>187</v>
      </c>
      <c r="AK29" s="165">
        <f t="shared" si="41"/>
        <v>75.451359171362213</v>
      </c>
      <c r="AL29" s="158">
        <f t="shared" si="26"/>
        <v>829.96495088498432</v>
      </c>
      <c r="AM29" s="138">
        <f t="shared" si="42"/>
        <v>62621.983608864954</v>
      </c>
      <c r="AN29" s="62"/>
    </row>
    <row r="30" spans="1:40">
      <c r="A30" s="52" t="s">
        <v>39</v>
      </c>
      <c r="B30" s="52" t="s">
        <v>2</v>
      </c>
      <c r="C30" s="52">
        <v>18</v>
      </c>
      <c r="D30" s="53" t="s">
        <v>40</v>
      </c>
      <c r="E30" s="53">
        <v>250</v>
      </c>
      <c r="F30" s="55">
        <f t="shared" si="27"/>
        <v>93.687374749498986</v>
      </c>
      <c r="G30" s="55">
        <f t="shared" si="2"/>
        <v>2.668449197860963</v>
      </c>
      <c r="H30" s="69">
        <f t="shared" si="28"/>
        <v>1.8226888305628464E-2</v>
      </c>
      <c r="I30" s="69">
        <f t="shared" si="29"/>
        <v>0.37474949899799592</v>
      </c>
      <c r="J30" s="69">
        <f t="shared" si="30"/>
        <v>7.5135689869093678E-2</v>
      </c>
      <c r="K30" s="71">
        <f t="shared" si="31"/>
        <v>13.309254253767625</v>
      </c>
      <c r="L30" s="72">
        <f t="shared" si="22"/>
        <v>1246.909090909091</v>
      </c>
      <c r="M30" s="72">
        <v>29</v>
      </c>
      <c r="N30" s="72">
        <v>1</v>
      </c>
      <c r="O30" s="72">
        <f t="shared" si="43"/>
        <v>30</v>
      </c>
      <c r="P30" s="62">
        <v>2</v>
      </c>
      <c r="Q30" s="62">
        <v>13</v>
      </c>
      <c r="R30" s="62">
        <v>0</v>
      </c>
      <c r="S30" s="62">
        <v>7</v>
      </c>
      <c r="T30" s="62">
        <f t="shared" si="8"/>
        <v>20</v>
      </c>
      <c r="U30" s="62">
        <v>47</v>
      </c>
      <c r="V30" s="71">
        <f t="shared" ref="V30:V33" si="44">(O30+P30)/(O30+P30+T30)</f>
        <v>0.61538461538461542</v>
      </c>
      <c r="W30" s="75">
        <f t="shared" si="32"/>
        <v>1.9038461538461537</v>
      </c>
      <c r="X30" s="71">
        <f t="shared" si="33"/>
        <v>25.338772521596052</v>
      </c>
      <c r="Y30" s="114">
        <f t="shared" si="12"/>
        <v>760.16317564788153</v>
      </c>
      <c r="Z30" s="72">
        <f t="shared" si="34"/>
        <v>23.669723928772964</v>
      </c>
      <c r="AA30" s="114">
        <f t="shared" si="24"/>
        <v>710.09171786318893</v>
      </c>
      <c r="AB30" s="120">
        <f t="shared" si="35"/>
        <v>0.9375</v>
      </c>
      <c r="AC30" s="114">
        <f t="shared" si="36"/>
        <v>12.477425862907149</v>
      </c>
      <c r="AD30" s="114">
        <f t="shared" si="37"/>
        <v>374.32277588721445</v>
      </c>
      <c r="AE30" s="72">
        <f t="shared" si="38"/>
        <v>23.667918401467816</v>
      </c>
      <c r="AF30" s="72">
        <f t="shared" si="39"/>
        <v>710.03755204403444</v>
      </c>
      <c r="AG30" s="62">
        <f t="shared" si="40"/>
        <v>16805.110843756167</v>
      </c>
      <c r="AH30" s="62"/>
      <c r="AI30" s="144">
        <v>17</v>
      </c>
      <c r="AJ30" s="120">
        <f t="shared" si="25"/>
        <v>510</v>
      </c>
      <c r="AK30" s="165">
        <f t="shared" si="41"/>
        <v>75.451359171362213</v>
      </c>
      <c r="AL30" s="158">
        <f t="shared" si="26"/>
        <v>2263.5407751408666</v>
      </c>
      <c r="AM30" s="138">
        <f t="shared" si="42"/>
        <v>170787.22802417714</v>
      </c>
      <c r="AN30" s="62"/>
    </row>
    <row r="31" spans="1:40">
      <c r="A31" s="52" t="s">
        <v>39</v>
      </c>
      <c r="B31" s="57" t="s">
        <v>3</v>
      </c>
      <c r="C31" s="57">
        <v>19</v>
      </c>
      <c r="D31" s="53" t="s">
        <v>44</v>
      </c>
      <c r="E31" s="53">
        <v>83</v>
      </c>
      <c r="F31" s="55">
        <f t="shared" si="27"/>
        <v>31.104208416833668</v>
      </c>
      <c r="G31" s="55">
        <f t="shared" si="2"/>
        <v>2.6684491978609626</v>
      </c>
      <c r="H31" s="69">
        <f t="shared" si="28"/>
        <v>6.0513269174686498E-3</v>
      </c>
      <c r="I31" s="69">
        <f t="shared" si="29"/>
        <v>0.37474949899799598</v>
      </c>
      <c r="J31" s="69">
        <f t="shared" si="30"/>
        <v>2.4945049036539105E-2</v>
      </c>
      <c r="K31" s="71">
        <f t="shared" si="31"/>
        <v>40.088115222191632</v>
      </c>
      <c r="L31" s="72">
        <f t="shared" si="22"/>
        <v>1246.9090909090908</v>
      </c>
      <c r="M31" s="72">
        <v>11</v>
      </c>
      <c r="N31" s="72">
        <v>1</v>
      </c>
      <c r="O31" s="72">
        <f t="shared" si="43"/>
        <v>12</v>
      </c>
      <c r="P31" s="62">
        <v>1</v>
      </c>
      <c r="Q31" s="62">
        <v>4</v>
      </c>
      <c r="R31" s="62">
        <v>0</v>
      </c>
      <c r="S31" s="62">
        <v>0</v>
      </c>
      <c r="T31" s="62">
        <f t="shared" si="8"/>
        <v>4</v>
      </c>
      <c r="U31" s="62">
        <v>10</v>
      </c>
      <c r="V31" s="71">
        <f t="shared" si="44"/>
        <v>0.76470588235294112</v>
      </c>
      <c r="W31" s="75">
        <f t="shared" si="32"/>
        <v>1.5882352941176472</v>
      </c>
      <c r="X31" s="71">
        <f t="shared" si="33"/>
        <v>63.669359470539654</v>
      </c>
      <c r="Y31" s="114">
        <f t="shared" si="12"/>
        <v>764.03231364647581</v>
      </c>
      <c r="Z31" s="72">
        <f t="shared" si="34"/>
        <v>59.475499853240485</v>
      </c>
      <c r="AA31" s="114">
        <f t="shared" si="24"/>
        <v>713.70599823888585</v>
      </c>
      <c r="AB31" s="120">
        <f t="shared" si="35"/>
        <v>0.92307692307692302</v>
      </c>
      <c r="AC31" s="114">
        <f t="shared" si="36"/>
        <v>37.004414051253811</v>
      </c>
      <c r="AD31" s="114">
        <f t="shared" si="37"/>
        <v>444.05296861504576</v>
      </c>
      <c r="AE31" s="72">
        <f t="shared" si="38"/>
        <v>70.192158373213147</v>
      </c>
      <c r="AF31" s="72">
        <f t="shared" si="39"/>
        <v>842.30590047855776</v>
      </c>
      <c r="AG31" s="62">
        <f t="shared" si="40"/>
        <v>59123.269165082842</v>
      </c>
      <c r="AH31" s="62"/>
      <c r="AI31" s="144">
        <v>17</v>
      </c>
      <c r="AJ31" s="120">
        <f t="shared" si="25"/>
        <v>204</v>
      </c>
      <c r="AK31" s="165">
        <f t="shared" si="41"/>
        <v>75.451359171362213</v>
      </c>
      <c r="AL31" s="158">
        <f t="shared" si="26"/>
        <v>905.41631005634656</v>
      </c>
      <c r="AM31" s="138">
        <f t="shared" si="42"/>
        <v>68314.891209670852</v>
      </c>
      <c r="AN31" s="62"/>
    </row>
    <row r="32" spans="1:40">
      <c r="A32" s="52" t="s">
        <v>39</v>
      </c>
      <c r="B32" s="57" t="s">
        <v>4</v>
      </c>
      <c r="C32" s="57">
        <v>20</v>
      </c>
      <c r="D32" s="53" t="s">
        <v>44</v>
      </c>
      <c r="E32" s="53">
        <v>55</v>
      </c>
      <c r="F32" s="55">
        <f t="shared" si="27"/>
        <v>20.61122244488978</v>
      </c>
      <c r="G32" s="55">
        <f t="shared" si="2"/>
        <v>2.6684491978609626</v>
      </c>
      <c r="H32" s="69">
        <f t="shared" si="28"/>
        <v>4.0099154272382623E-3</v>
      </c>
      <c r="I32" s="69">
        <f t="shared" si="29"/>
        <v>0.37474949899799598</v>
      </c>
      <c r="J32" s="69">
        <f t="shared" si="30"/>
        <v>1.6529851771200612E-2</v>
      </c>
      <c r="K32" s="71">
        <f t="shared" si="31"/>
        <v>60.496610244398283</v>
      </c>
      <c r="L32" s="72">
        <f t="shared" si="22"/>
        <v>1246.909090909091</v>
      </c>
      <c r="M32" s="72">
        <v>13</v>
      </c>
      <c r="N32" s="72">
        <v>1</v>
      </c>
      <c r="O32" s="72">
        <f t="shared" si="43"/>
        <v>14</v>
      </c>
      <c r="P32" s="62">
        <v>0</v>
      </c>
      <c r="Q32" s="62">
        <v>0</v>
      </c>
      <c r="R32" s="62">
        <v>0</v>
      </c>
      <c r="S32" s="62">
        <v>1</v>
      </c>
      <c r="T32" s="62">
        <f t="shared" si="8"/>
        <v>1</v>
      </c>
      <c r="U32" s="62">
        <v>18</v>
      </c>
      <c r="V32" s="71">
        <f t="shared" si="44"/>
        <v>0.93333333333333335</v>
      </c>
      <c r="W32" s="75">
        <f t="shared" si="32"/>
        <v>2.2000000000000002</v>
      </c>
      <c r="X32" s="71">
        <f t="shared" si="33"/>
        <v>133.09254253767622</v>
      </c>
      <c r="Y32" s="114">
        <f t="shared" si="12"/>
        <v>1863.2955955274672</v>
      </c>
      <c r="Z32" s="72">
        <f t="shared" si="34"/>
        <v>124.32582265618122</v>
      </c>
      <c r="AA32" s="114">
        <f t="shared" si="24"/>
        <v>1740.561517186537</v>
      </c>
      <c r="AB32" s="120">
        <f t="shared" si="35"/>
        <v>1</v>
      </c>
      <c r="AC32" s="114">
        <f t="shared" si="36"/>
        <v>60.496610244398283</v>
      </c>
      <c r="AD32" s="114">
        <f t="shared" si="37"/>
        <v>846.95254342157591</v>
      </c>
      <c r="AE32" s="72">
        <f t="shared" si="38"/>
        <v>114.75354376469241</v>
      </c>
      <c r="AF32" s="72">
        <f t="shared" si="39"/>
        <v>1606.5496127056938</v>
      </c>
      <c r="AG32" s="62">
        <f t="shared" si="40"/>
        <v>184357.26129177245</v>
      </c>
      <c r="AH32" s="62"/>
      <c r="AI32" s="144">
        <v>17</v>
      </c>
      <c r="AJ32" s="120">
        <f t="shared" si="25"/>
        <v>238</v>
      </c>
      <c r="AK32" s="165">
        <f t="shared" si="41"/>
        <v>75.451359171362213</v>
      </c>
      <c r="AL32" s="158">
        <f t="shared" si="26"/>
        <v>1056.3190283990709</v>
      </c>
      <c r="AM32" s="138">
        <f t="shared" si="42"/>
        <v>79700.706411282663</v>
      </c>
      <c r="AN32" s="62"/>
    </row>
    <row r="33" spans="1:40">
      <c r="A33" s="52" t="s">
        <v>39</v>
      </c>
      <c r="B33" s="52" t="s">
        <v>5</v>
      </c>
      <c r="C33" s="52">
        <v>29</v>
      </c>
      <c r="D33" s="53">
        <v>1905</v>
      </c>
      <c r="E33" s="53">
        <v>343</v>
      </c>
      <c r="F33" s="55">
        <f>374*(E33/$E$36)</f>
        <v>128.53907815631263</v>
      </c>
      <c r="G33" s="55">
        <f t="shared" si="2"/>
        <v>2.6684491978609626</v>
      </c>
      <c r="H33" s="69">
        <f t="shared" si="28"/>
        <v>2.5007290755322251E-2</v>
      </c>
      <c r="I33" s="69">
        <f t="shared" si="29"/>
        <v>0.37474949899799598</v>
      </c>
      <c r="J33" s="69">
        <f t="shared" si="30"/>
        <v>0.10308616650039654</v>
      </c>
      <c r="K33" s="71">
        <f t="shared" si="31"/>
        <v>9.7006226339414159</v>
      </c>
      <c r="L33" s="72">
        <f t="shared" si="22"/>
        <v>1246.909090909091</v>
      </c>
      <c r="M33" s="72">
        <v>65</v>
      </c>
      <c r="N33" s="72">
        <v>5</v>
      </c>
      <c r="O33" s="72">
        <f t="shared" si="43"/>
        <v>70</v>
      </c>
      <c r="P33" s="62">
        <v>6</v>
      </c>
      <c r="Q33" s="62">
        <v>42</v>
      </c>
      <c r="R33" s="62">
        <v>3</v>
      </c>
      <c r="S33" s="62">
        <v>5</v>
      </c>
      <c r="T33" s="62">
        <f t="shared" si="8"/>
        <v>50</v>
      </c>
      <c r="U33" s="62">
        <v>42</v>
      </c>
      <c r="V33" s="71">
        <f t="shared" si="44"/>
        <v>0.60317460317460314</v>
      </c>
      <c r="W33" s="75">
        <f t="shared" si="32"/>
        <v>1.3333333333333333</v>
      </c>
      <c r="X33" s="71">
        <f t="shared" si="33"/>
        <v>12.934163511921888</v>
      </c>
      <c r="Y33" s="114">
        <f t="shared" si="12"/>
        <v>905.39144583453219</v>
      </c>
      <c r="Z33" s="72">
        <f t="shared" si="34"/>
        <v>12.082198508861149</v>
      </c>
      <c r="AA33" s="114">
        <f t="shared" si="24"/>
        <v>845.75389562028045</v>
      </c>
      <c r="AB33" s="120">
        <f t="shared" si="35"/>
        <v>0.92105263157894735</v>
      </c>
      <c r="AC33" s="114">
        <f t="shared" si="36"/>
        <v>8.9347840049460405</v>
      </c>
      <c r="AD33" s="114">
        <f t="shared" si="37"/>
        <v>625.43488034622283</v>
      </c>
      <c r="AE33" s="72">
        <f t="shared" si="38"/>
        <v>16.94802606621397</v>
      </c>
      <c r="AF33" s="72">
        <f t="shared" si="39"/>
        <v>1186.3618246349779</v>
      </c>
      <c r="AG33" s="62">
        <f>(AE33^2)*O33</f>
        <v>20106.491127874771</v>
      </c>
      <c r="AH33" s="62"/>
      <c r="AI33" s="144">
        <v>16.94802606621397</v>
      </c>
      <c r="AJ33" s="120">
        <f t="shared" si="25"/>
        <v>1186.3618246349779</v>
      </c>
      <c r="AK33" s="165">
        <f t="shared" si="41"/>
        <v>75.220682468677609</v>
      </c>
      <c r="AL33" s="158">
        <f t="shared" si="26"/>
        <v>5265.4477728074326</v>
      </c>
      <c r="AM33" s="138">
        <f t="shared" si="42"/>
        <v>396070.5749737536</v>
      </c>
      <c r="AN33" s="62"/>
    </row>
    <row r="34" spans="1:40">
      <c r="A34" s="58" t="s">
        <v>39</v>
      </c>
      <c r="B34" s="58" t="s">
        <v>118</v>
      </c>
      <c r="C34" s="58">
        <v>21</v>
      </c>
      <c r="D34" s="58"/>
      <c r="E34" s="58">
        <v>474</v>
      </c>
      <c r="F34" s="96" t="s">
        <v>120</v>
      </c>
      <c r="G34" s="96" t="s">
        <v>120</v>
      </c>
      <c r="H34" s="97"/>
      <c r="I34" s="97"/>
      <c r="J34" s="97"/>
      <c r="K34" s="97"/>
      <c r="L34" s="98"/>
      <c r="M34" s="98">
        <v>0</v>
      </c>
      <c r="N34" s="99">
        <v>10</v>
      </c>
      <c r="O34" s="99">
        <f t="shared" si="7"/>
        <v>10</v>
      </c>
      <c r="P34" s="100"/>
      <c r="Q34" s="100"/>
      <c r="R34" s="100"/>
      <c r="S34" s="100"/>
      <c r="T34" s="100">
        <f t="shared" si="8"/>
        <v>0</v>
      </c>
      <c r="U34" s="100"/>
      <c r="V34" s="98"/>
      <c r="W34" s="101"/>
      <c r="X34" s="99"/>
      <c r="Y34" s="116"/>
      <c r="Z34" s="116"/>
      <c r="AA34" s="116"/>
      <c r="AB34" s="116"/>
      <c r="AC34" s="116"/>
      <c r="AD34" s="116"/>
      <c r="AE34" s="116"/>
      <c r="AF34" s="116"/>
      <c r="AG34" s="117"/>
      <c r="AH34" s="62"/>
      <c r="AI34" s="142"/>
      <c r="AJ34" s="117"/>
      <c r="AK34" s="166"/>
      <c r="AL34" s="159"/>
      <c r="AM34" s="62"/>
      <c r="AN34" s="62"/>
    </row>
    <row r="35" spans="1:40">
      <c r="A35" s="52" t="s">
        <v>39</v>
      </c>
      <c r="B35" s="57" t="s">
        <v>176</v>
      </c>
      <c r="C35" s="57"/>
      <c r="D35" s="53">
        <v>1984</v>
      </c>
      <c r="E35" s="53">
        <v>61</v>
      </c>
      <c r="F35" s="55">
        <f>374*(E35/(SUM(E$23:E$33)))</f>
        <v>22.859719438877754</v>
      </c>
      <c r="G35" s="55">
        <f>E35/F35</f>
        <v>2.6684491978609626</v>
      </c>
      <c r="H35" s="69"/>
      <c r="I35" s="69"/>
      <c r="J35" s="69"/>
      <c r="K35" s="71"/>
      <c r="L35" s="62"/>
      <c r="M35" s="71">
        <v>0</v>
      </c>
      <c r="N35" s="72"/>
      <c r="O35" s="72">
        <f>M35+N35</f>
        <v>0</v>
      </c>
      <c r="P35" s="62">
        <v>0</v>
      </c>
      <c r="Q35" s="62">
        <v>0</v>
      </c>
      <c r="R35" s="62">
        <v>0</v>
      </c>
      <c r="S35" s="62">
        <v>0</v>
      </c>
      <c r="T35" s="62">
        <f>SUM(Q35:S35)</f>
        <v>0</v>
      </c>
      <c r="U35" s="62">
        <v>0</v>
      </c>
      <c r="V35" s="71"/>
      <c r="W35" s="75"/>
      <c r="X35" s="71"/>
      <c r="Y35" s="114"/>
      <c r="Z35" s="114"/>
      <c r="AA35" s="114"/>
      <c r="AB35" s="114"/>
      <c r="AC35" s="114"/>
      <c r="AD35" s="114"/>
      <c r="AE35" s="114"/>
      <c r="AF35" s="114"/>
      <c r="AG35" s="117"/>
      <c r="AH35" s="62"/>
      <c r="AI35" s="142"/>
      <c r="AJ35" s="117"/>
      <c r="AK35" s="166"/>
      <c r="AL35" s="159"/>
      <c r="AM35" s="139"/>
      <c r="AN35" s="139"/>
    </row>
    <row r="36" spans="1:40">
      <c r="A36" s="88"/>
      <c r="B36" s="88"/>
      <c r="C36" s="88"/>
      <c r="D36" s="88"/>
      <c r="E36" s="88">
        <f>SUM(E23:E33)</f>
        <v>998</v>
      </c>
      <c r="F36" s="89">
        <f>SUM(F23:F33)</f>
        <v>374</v>
      </c>
      <c r="G36" s="89"/>
      <c r="H36" s="91"/>
      <c r="I36" s="91"/>
      <c r="J36" s="91"/>
      <c r="K36" s="91"/>
      <c r="L36" s="94">
        <f>SUM(L23:L33)</f>
        <v>13716</v>
      </c>
      <c r="M36" s="94">
        <f>SUM(M23:M33)</f>
        <v>172</v>
      </c>
      <c r="N36" s="94">
        <f>SUM(N23:N33)</f>
        <v>12</v>
      </c>
      <c r="O36" s="94">
        <f>SUM(O23:O33)</f>
        <v>182</v>
      </c>
      <c r="P36" s="93"/>
      <c r="Q36" s="93"/>
      <c r="R36" s="93"/>
      <c r="S36" s="93"/>
      <c r="T36" s="93"/>
      <c r="U36" s="93"/>
      <c r="V36" s="92"/>
      <c r="W36" s="95"/>
      <c r="X36" s="94"/>
      <c r="Y36" s="115">
        <f>SUM(Y23:Y33)</f>
        <v>14683.170997348772</v>
      </c>
      <c r="Z36" s="115"/>
      <c r="AA36" s="115">
        <f>SUM(AA23:AA35)</f>
        <v>13716.000000000002</v>
      </c>
      <c r="AB36" s="115"/>
      <c r="AC36" s="115"/>
      <c r="AD36" s="115">
        <f>SUM(AD23:AD33)</f>
        <v>7230.9009281112294</v>
      </c>
      <c r="AE36" s="115"/>
      <c r="AF36" s="115">
        <f>SUM(AF23:AF35)</f>
        <v>13716.000000000002</v>
      </c>
      <c r="AG36" s="115">
        <f>SUM(AG23:AG35)</f>
        <v>2936393.3306920789</v>
      </c>
      <c r="AH36" s="119"/>
      <c r="AI36" s="142"/>
      <c r="AJ36" s="150">
        <f>SUM(AJ23:AJ35)</f>
        <v>3090.3618246349779</v>
      </c>
      <c r="AK36" s="162"/>
      <c r="AL36" s="160">
        <f>SUM(AL23:AL35)</f>
        <v>13716</v>
      </c>
      <c r="AM36" s="93">
        <f>SUM(AM23:AM35)</f>
        <v>1033676.2262640148</v>
      </c>
      <c r="AN36" s="93"/>
    </row>
    <row r="37" spans="1:40">
      <c r="A37" s="52" t="s">
        <v>35</v>
      </c>
      <c r="B37" s="52" t="s">
        <v>28</v>
      </c>
      <c r="C37" s="52">
        <v>61</v>
      </c>
      <c r="D37" s="53">
        <v>1925</v>
      </c>
      <c r="E37" s="55">
        <v>29</v>
      </c>
      <c r="F37" s="55">
        <f>378*(E37/E$49)</f>
        <v>9.2506329113924046</v>
      </c>
      <c r="G37" s="55">
        <f t="shared" ref="G37:G43" si="45">E37/F37</f>
        <v>3.1349206349206349</v>
      </c>
      <c r="H37" s="69">
        <f>E37/F$4</f>
        <v>1.1361410381978453E-3</v>
      </c>
      <c r="I37" s="69">
        <f>F37/E37</f>
        <v>0.31898734177215188</v>
      </c>
      <c r="J37" s="69">
        <f>$H$4*I37*H37</f>
        <v>2.5369022675708849E-3</v>
      </c>
      <c r="K37" s="71">
        <f>1/J37</f>
        <v>394.18152318398626</v>
      </c>
      <c r="L37" s="72">
        <f>F37*K37</f>
        <v>3646.4285714285716</v>
      </c>
      <c r="M37" s="72">
        <v>2</v>
      </c>
      <c r="N37" s="72">
        <v>0</v>
      </c>
      <c r="O37" s="72">
        <f t="shared" si="7"/>
        <v>2</v>
      </c>
      <c r="P37" s="62">
        <v>0</v>
      </c>
      <c r="Q37" s="62">
        <v>1</v>
      </c>
      <c r="R37" s="62">
        <v>0</v>
      </c>
      <c r="S37" s="62">
        <v>0</v>
      </c>
      <c r="T37" s="62">
        <f>SUM(Q37:S37)</f>
        <v>1</v>
      </c>
      <c r="U37" s="62">
        <v>3</v>
      </c>
      <c r="V37" s="71">
        <f>(O37+P37)/(O37+P37+T37)</f>
        <v>0.66666666666666663</v>
      </c>
      <c r="W37" s="75">
        <f>(O37+P37+(V37*U37))/(O37+P37)</f>
        <v>2</v>
      </c>
      <c r="X37" s="72">
        <f>O37*W37</f>
        <v>4</v>
      </c>
      <c r="Y37" s="114">
        <f>X37*O37</f>
        <v>8</v>
      </c>
      <c r="Z37" s="72">
        <f>X37*(L$49/Y$49)</f>
        <v>5.80241818859567</v>
      </c>
      <c r="AA37" s="114">
        <f t="shared" ref="AA37:AA43" si="46">O37*Z37</f>
        <v>11.60483637719134</v>
      </c>
      <c r="AB37" s="120">
        <f>(O37*Z37)/((O37*Z37)+(P37*Z37))</f>
        <v>1</v>
      </c>
      <c r="AC37" s="114">
        <f t="shared" ref="AC37" si="47">K37*AB37</f>
        <v>394.18152318398626</v>
      </c>
      <c r="AD37" s="114">
        <f t="shared" ref="AD37" si="48">O37*AC37</f>
        <v>788.36304636797252</v>
      </c>
      <c r="AE37" s="72">
        <f>AC37*(AA$49/AD$49)</f>
        <v>914.91318197160604</v>
      </c>
      <c r="AF37" s="72">
        <f>O37*AE37</f>
        <v>1829.8263639432121</v>
      </c>
      <c r="AG37" s="117">
        <f>(AE37^2)*O37</f>
        <v>1674132.2610908181</v>
      </c>
      <c r="AH37" s="71">
        <f>$O$49*(AG49/(AF49^2))</f>
        <v>3.4374820667220778</v>
      </c>
      <c r="AI37" s="141">
        <v>55</v>
      </c>
      <c r="AJ37" s="120">
        <f t="shared" ref="AJ37:AJ43" si="49">O37*AI37</f>
        <v>110</v>
      </c>
      <c r="AK37" s="165">
        <f>AI37*(AF$49/AJ$49)</f>
        <v>161.5506329113924</v>
      </c>
      <c r="AL37" s="158">
        <f t="shared" ref="AL37:AL43" si="50">O37*AK37</f>
        <v>323.1012658227848</v>
      </c>
      <c r="AM37" s="138">
        <f>(AK37^2)*O37</f>
        <v>52197.213988142925</v>
      </c>
      <c r="AN37" s="71">
        <f>$O$49*(AM49/(AL49^2))</f>
        <v>1</v>
      </c>
    </row>
    <row r="38" spans="1:40">
      <c r="A38" s="52" t="s">
        <v>35</v>
      </c>
      <c r="B38" s="52" t="s">
        <v>26</v>
      </c>
      <c r="C38" s="52">
        <v>46</v>
      </c>
      <c r="D38" s="53">
        <v>1984</v>
      </c>
      <c r="E38" s="55">
        <v>24</v>
      </c>
      <c r="F38" s="55">
        <f t="shared" ref="F38:F43" si="51">378*(E38/E$49)</f>
        <v>7.6556962025316455</v>
      </c>
      <c r="G38" s="55">
        <f t="shared" si="45"/>
        <v>3.1349206349206349</v>
      </c>
      <c r="H38" s="69">
        <f>E38/F$4</f>
        <v>9.4025465230166501E-4</v>
      </c>
      <c r="I38" s="69">
        <f t="shared" ref="I38:I43" si="52">F38/E38</f>
        <v>0.31898734177215188</v>
      </c>
      <c r="J38" s="69">
        <f t="shared" ref="J38:J43" si="53">$H$4*I38*H38</f>
        <v>2.0995053248862492E-3</v>
      </c>
      <c r="K38" s="71">
        <f t="shared" ref="K38:K43" si="54">1/J38</f>
        <v>476.30267384731678</v>
      </c>
      <c r="L38" s="72">
        <f t="shared" ref="L38:L43" si="55">F38*K38</f>
        <v>3646.428571428572</v>
      </c>
      <c r="M38" s="72">
        <v>5</v>
      </c>
      <c r="N38" s="72">
        <v>1</v>
      </c>
      <c r="O38" s="72">
        <f t="shared" si="7"/>
        <v>6</v>
      </c>
      <c r="P38" s="62">
        <v>0</v>
      </c>
      <c r="Q38" s="62">
        <v>2</v>
      </c>
      <c r="R38" s="62">
        <v>0</v>
      </c>
      <c r="S38" s="62">
        <v>0</v>
      </c>
      <c r="T38" s="62">
        <f t="shared" si="8"/>
        <v>2</v>
      </c>
      <c r="U38" s="62">
        <v>18</v>
      </c>
      <c r="V38" s="71">
        <f t="shared" si="9"/>
        <v>0.75</v>
      </c>
      <c r="W38" s="75">
        <f t="shared" si="10"/>
        <v>3.25</v>
      </c>
      <c r="X38" s="72">
        <f t="shared" ref="X38:X43" si="56">O38*W38</f>
        <v>19.5</v>
      </c>
      <c r="Y38" s="114">
        <f t="shared" ref="Y38:Y43" si="57">X38*O38</f>
        <v>117</v>
      </c>
      <c r="Z38" s="72">
        <f t="shared" ref="Z38:Z43" si="58">X38*(L$49/Y$49)</f>
        <v>28.28678866940389</v>
      </c>
      <c r="AA38" s="114">
        <f t="shared" si="46"/>
        <v>169.72073201642334</v>
      </c>
      <c r="AB38" s="120">
        <f t="shared" ref="AB38:AB43" si="59">(O38*Z38)/((O38*Z38)+(P38*Z38))</f>
        <v>1</v>
      </c>
      <c r="AC38" s="114">
        <f t="shared" ref="AC38:AC43" si="60">K38*AB38</f>
        <v>476.30267384731678</v>
      </c>
      <c r="AD38" s="114">
        <f t="shared" ref="AD38:AD43" si="61">O38*AC38</f>
        <v>2857.8160430839007</v>
      </c>
      <c r="AE38" s="72">
        <f t="shared" ref="AE38:AE43" si="62">AC38*(AA$49/AD$49)</f>
        <v>1105.5200948823574</v>
      </c>
      <c r="AF38" s="72">
        <f t="shared" ref="AF38:AF43" si="63">O38*AE38</f>
        <v>6633.1205692941439</v>
      </c>
      <c r="AG38" s="117">
        <f t="shared" ref="AG38:AG43" si="64">(AE38^2)*O38</f>
        <v>7333048.0811321791</v>
      </c>
      <c r="AH38" s="62"/>
      <c r="AI38" s="141">
        <v>55</v>
      </c>
      <c r="AJ38" s="120">
        <f t="shared" si="49"/>
        <v>330</v>
      </c>
      <c r="AK38" s="165">
        <f t="shared" ref="AK38:AK43" si="65">AI38*(AF$49/AJ$49)</f>
        <v>161.5506329113924</v>
      </c>
      <c r="AL38" s="158">
        <f t="shared" si="50"/>
        <v>969.30379746835433</v>
      </c>
      <c r="AM38" s="138">
        <f t="shared" ref="AM38:AM43" si="66">(AK38^2)*O38</f>
        <v>156591.64196442877</v>
      </c>
      <c r="AN38" s="62"/>
    </row>
    <row r="39" spans="1:40">
      <c r="A39" s="52" t="s">
        <v>35</v>
      </c>
      <c r="B39" s="52" t="s">
        <v>27</v>
      </c>
      <c r="C39" s="52">
        <v>38</v>
      </c>
      <c r="D39" s="53" t="s">
        <v>40</v>
      </c>
      <c r="E39" s="55">
        <v>33</v>
      </c>
      <c r="F39" s="55">
        <f t="shared" si="51"/>
        <v>10.526582278481012</v>
      </c>
      <c r="G39" s="55">
        <f t="shared" si="45"/>
        <v>3.1349206349206353</v>
      </c>
      <c r="H39" s="69">
        <f t="shared" ref="H39:H42" si="67">E39/F$4</f>
        <v>1.2928501469147895E-3</v>
      </c>
      <c r="I39" s="69">
        <f t="shared" si="52"/>
        <v>0.31898734177215188</v>
      </c>
      <c r="J39" s="69">
        <f t="shared" si="53"/>
        <v>2.886819821718593E-3</v>
      </c>
      <c r="K39" s="71">
        <f t="shared" si="54"/>
        <v>346.40194461623037</v>
      </c>
      <c r="L39" s="72">
        <f t="shared" si="55"/>
        <v>3646.4285714285716</v>
      </c>
      <c r="M39" s="72">
        <v>5</v>
      </c>
      <c r="N39" s="72">
        <v>0</v>
      </c>
      <c r="O39" s="72">
        <f t="shared" si="7"/>
        <v>5</v>
      </c>
      <c r="P39" s="62">
        <v>0</v>
      </c>
      <c r="Q39" s="62">
        <v>2</v>
      </c>
      <c r="R39" s="62">
        <v>17</v>
      </c>
      <c r="S39" s="62">
        <v>0</v>
      </c>
      <c r="T39" s="62">
        <f t="shared" si="8"/>
        <v>19</v>
      </c>
      <c r="U39" s="62">
        <v>13</v>
      </c>
      <c r="V39" s="71">
        <f t="shared" si="9"/>
        <v>0.20833333333333334</v>
      </c>
      <c r="W39" s="75">
        <f t="shared" si="10"/>
        <v>1.5416666666666667</v>
      </c>
      <c r="X39" s="72">
        <f t="shared" si="56"/>
        <v>7.7083333333333339</v>
      </c>
      <c r="Y39" s="114">
        <f t="shared" si="57"/>
        <v>38.541666666666671</v>
      </c>
      <c r="Z39" s="72">
        <f t="shared" si="58"/>
        <v>11.181743384272906</v>
      </c>
      <c r="AA39" s="114">
        <f t="shared" si="46"/>
        <v>55.90871692136453</v>
      </c>
      <c r="AB39" s="120">
        <f t="shared" si="59"/>
        <v>1</v>
      </c>
      <c r="AC39" s="114">
        <f t="shared" si="60"/>
        <v>346.40194461623037</v>
      </c>
      <c r="AD39" s="114">
        <f t="shared" si="61"/>
        <v>1732.0097230811518</v>
      </c>
      <c r="AE39" s="72">
        <f t="shared" si="62"/>
        <v>804.01461445989617</v>
      </c>
      <c r="AF39" s="72">
        <f t="shared" si="63"/>
        <v>4020.0730722994808</v>
      </c>
      <c r="AG39" s="117">
        <f t="shared" si="64"/>
        <v>3232197.5013254774</v>
      </c>
      <c r="AH39" s="62"/>
      <c r="AI39" s="141">
        <v>55</v>
      </c>
      <c r="AJ39" s="120">
        <f t="shared" si="49"/>
        <v>275</v>
      </c>
      <c r="AK39" s="165">
        <f t="shared" si="65"/>
        <v>161.5506329113924</v>
      </c>
      <c r="AL39" s="158">
        <f t="shared" si="50"/>
        <v>807.75316455696202</v>
      </c>
      <c r="AM39" s="138">
        <f t="shared" si="66"/>
        <v>130493.03497035732</v>
      </c>
      <c r="AN39" s="62"/>
    </row>
    <row r="40" spans="1:40">
      <c r="A40" s="52" t="s">
        <v>35</v>
      </c>
      <c r="B40" s="52" t="s">
        <v>29</v>
      </c>
      <c r="C40" s="52">
        <v>39</v>
      </c>
      <c r="D40" s="53" t="s">
        <v>40</v>
      </c>
      <c r="E40" s="55">
        <v>125</v>
      </c>
      <c r="F40" s="55">
        <f t="shared" si="51"/>
        <v>39.87341772151899</v>
      </c>
      <c r="G40" s="55">
        <f t="shared" si="45"/>
        <v>3.1349206349206349</v>
      </c>
      <c r="H40" s="69">
        <f t="shared" si="67"/>
        <v>4.8971596474045058E-3</v>
      </c>
      <c r="I40" s="69">
        <f t="shared" si="52"/>
        <v>0.31898734177215193</v>
      </c>
      <c r="J40" s="69">
        <f t="shared" si="53"/>
        <v>1.0934923567115885E-2</v>
      </c>
      <c r="K40" s="71">
        <f t="shared" si="54"/>
        <v>91.45011337868479</v>
      </c>
      <c r="L40" s="72">
        <f t="shared" si="55"/>
        <v>3646.4285714285711</v>
      </c>
      <c r="M40" s="72">
        <v>13</v>
      </c>
      <c r="N40" s="72">
        <v>0</v>
      </c>
      <c r="O40" s="72">
        <f>M40+N40</f>
        <v>13</v>
      </c>
      <c r="P40" s="62">
        <v>3</v>
      </c>
      <c r="Q40" s="62">
        <v>3</v>
      </c>
      <c r="R40" s="62">
        <v>0</v>
      </c>
      <c r="S40" s="62">
        <v>0</v>
      </c>
      <c r="T40" s="62">
        <f>SUM(Q40:S40)</f>
        <v>3</v>
      </c>
      <c r="U40" s="62">
        <v>39</v>
      </c>
      <c r="V40" s="71">
        <f t="shared" si="9"/>
        <v>0.84210526315789469</v>
      </c>
      <c r="W40" s="75">
        <f t="shared" si="10"/>
        <v>3.0526315789473681</v>
      </c>
      <c r="X40" s="72">
        <f t="shared" si="56"/>
        <v>39.684210526315788</v>
      </c>
      <c r="Y40" s="114">
        <f t="shared" si="57"/>
        <v>515.8947368421052</v>
      </c>
      <c r="Z40" s="72">
        <f t="shared" si="58"/>
        <v>57.566096239488616</v>
      </c>
      <c r="AA40" s="114">
        <f t="shared" si="46"/>
        <v>748.359251113352</v>
      </c>
      <c r="AB40" s="120">
        <f t="shared" si="59"/>
        <v>0.8125</v>
      </c>
      <c r="AC40" s="114">
        <f t="shared" si="60"/>
        <v>74.303217120181387</v>
      </c>
      <c r="AD40" s="114">
        <f t="shared" si="61"/>
        <v>965.94182256235808</v>
      </c>
      <c r="AE40" s="72">
        <f t="shared" si="62"/>
        <v>172.46113480164769</v>
      </c>
      <c r="AF40" s="72">
        <f t="shared" si="63"/>
        <v>2241.9947524214199</v>
      </c>
      <c r="AG40" s="117">
        <f t="shared" si="64"/>
        <v>386656.95922193723</v>
      </c>
      <c r="AH40" s="62"/>
      <c r="AI40" s="141">
        <v>55</v>
      </c>
      <c r="AJ40" s="120">
        <f t="shared" si="49"/>
        <v>715</v>
      </c>
      <c r="AK40" s="165">
        <f t="shared" si="65"/>
        <v>161.5506329113924</v>
      </c>
      <c r="AL40" s="158">
        <f t="shared" si="50"/>
        <v>2100.158227848101</v>
      </c>
      <c r="AM40" s="138">
        <f t="shared" si="66"/>
        <v>339281.89092292899</v>
      </c>
      <c r="AN40" s="62"/>
    </row>
    <row r="41" spans="1:40">
      <c r="A41" s="52" t="s">
        <v>35</v>
      </c>
      <c r="B41" s="52" t="s">
        <v>41</v>
      </c>
      <c r="C41" s="52">
        <v>41</v>
      </c>
      <c r="D41" s="53" t="s">
        <v>40</v>
      </c>
      <c r="E41" s="55">
        <v>200</v>
      </c>
      <c r="F41" s="55">
        <f t="shared" si="51"/>
        <v>63.797468354430379</v>
      </c>
      <c r="G41" s="55">
        <f t="shared" si="45"/>
        <v>3.1349206349206349</v>
      </c>
      <c r="H41" s="69">
        <f t="shared" si="67"/>
        <v>7.8354554358472089E-3</v>
      </c>
      <c r="I41" s="69">
        <f t="shared" si="52"/>
        <v>0.31898734177215188</v>
      </c>
      <c r="J41" s="69">
        <f t="shared" si="53"/>
        <v>1.7495877707385414E-2</v>
      </c>
      <c r="K41" s="71">
        <f t="shared" si="54"/>
        <v>57.156320861677997</v>
      </c>
      <c r="L41" s="72">
        <f t="shared" si="55"/>
        <v>3646.4285714285711</v>
      </c>
      <c r="M41" s="72">
        <v>41</v>
      </c>
      <c r="N41" s="72">
        <v>1</v>
      </c>
      <c r="O41" s="72">
        <f>M41+N41</f>
        <v>42</v>
      </c>
      <c r="P41" s="62">
        <v>1</v>
      </c>
      <c r="Q41" s="62">
        <v>33</v>
      </c>
      <c r="R41" s="62">
        <v>0</v>
      </c>
      <c r="S41" s="62">
        <v>0</v>
      </c>
      <c r="T41" s="62">
        <f>SUM(Q41:S41)</f>
        <v>33</v>
      </c>
      <c r="U41" s="62">
        <v>34</v>
      </c>
      <c r="V41" s="71">
        <f t="shared" si="9"/>
        <v>0.56578947368421051</v>
      </c>
      <c r="W41" s="75">
        <f t="shared" si="10"/>
        <v>1.4473684210526316</v>
      </c>
      <c r="X41" s="72">
        <f t="shared" si="56"/>
        <v>60.789473684210527</v>
      </c>
      <c r="Y41" s="114">
        <f t="shared" si="57"/>
        <v>2553.1578947368421</v>
      </c>
      <c r="Z41" s="72">
        <f t="shared" si="58"/>
        <v>88.181486945105249</v>
      </c>
      <c r="AA41" s="114">
        <f t="shared" si="46"/>
        <v>3703.6224516944203</v>
      </c>
      <c r="AB41" s="120">
        <f t="shared" si="59"/>
        <v>0.97674418604651159</v>
      </c>
      <c r="AC41" s="114">
        <f t="shared" si="60"/>
        <v>55.827104097452924</v>
      </c>
      <c r="AD41" s="114">
        <f t="shared" si="61"/>
        <v>2344.7383720930229</v>
      </c>
      <c r="AE41" s="72">
        <f t="shared" si="62"/>
        <v>129.5772390280716</v>
      </c>
      <c r="AF41" s="72">
        <f t="shared" si="63"/>
        <v>5442.2440391790069</v>
      </c>
      <c r="AG41" s="117">
        <f t="shared" si="64"/>
        <v>705190.95671379613</v>
      </c>
      <c r="AH41" s="62"/>
      <c r="AI41" s="141">
        <v>55</v>
      </c>
      <c r="AJ41" s="120">
        <f t="shared" si="49"/>
        <v>2310</v>
      </c>
      <c r="AK41" s="165">
        <f t="shared" si="65"/>
        <v>161.5506329113924</v>
      </c>
      <c r="AL41" s="158">
        <f t="shared" si="50"/>
        <v>6785.1265822784808</v>
      </c>
      <c r="AM41" s="138">
        <f t="shared" si="66"/>
        <v>1096141.4937510013</v>
      </c>
      <c r="AN41" s="62"/>
    </row>
    <row r="42" spans="1:40">
      <c r="A42" s="52" t="s">
        <v>35</v>
      </c>
      <c r="B42" s="52" t="s">
        <v>168</v>
      </c>
      <c r="C42" s="52">
        <v>37</v>
      </c>
      <c r="D42" s="53" t="s">
        <v>40</v>
      </c>
      <c r="E42" s="55">
        <v>85</v>
      </c>
      <c r="F42" s="55">
        <f t="shared" si="51"/>
        <v>27.11392405063291</v>
      </c>
      <c r="G42" s="55">
        <f t="shared" si="45"/>
        <v>3.1349206349206349</v>
      </c>
      <c r="H42" s="69">
        <f t="shared" si="67"/>
        <v>3.3300685602350635E-3</v>
      </c>
      <c r="I42" s="69">
        <f t="shared" si="52"/>
        <v>0.31898734177215188</v>
      </c>
      <c r="J42" s="69">
        <f t="shared" si="53"/>
        <v>7.4357480256387999E-3</v>
      </c>
      <c r="K42" s="71">
        <f t="shared" si="54"/>
        <v>134.48546085100708</v>
      </c>
      <c r="L42" s="72">
        <f t="shared" si="55"/>
        <v>3646.4285714285716</v>
      </c>
      <c r="M42" s="72">
        <v>11</v>
      </c>
      <c r="N42" s="72">
        <v>0</v>
      </c>
      <c r="O42" s="72">
        <f t="shared" si="7"/>
        <v>11</v>
      </c>
      <c r="P42" s="62">
        <v>2</v>
      </c>
      <c r="Q42" s="62">
        <v>12</v>
      </c>
      <c r="R42" s="62">
        <v>0</v>
      </c>
      <c r="S42" s="62">
        <v>0</v>
      </c>
      <c r="T42" s="62">
        <f t="shared" si="8"/>
        <v>12</v>
      </c>
      <c r="U42" s="62">
        <v>30</v>
      </c>
      <c r="V42" s="71">
        <f t="shared" si="9"/>
        <v>0.52</v>
      </c>
      <c r="W42" s="75">
        <f t="shared" si="10"/>
        <v>2.2000000000000002</v>
      </c>
      <c r="X42" s="72">
        <f t="shared" si="56"/>
        <v>24.200000000000003</v>
      </c>
      <c r="Y42" s="114">
        <f t="shared" si="57"/>
        <v>266.20000000000005</v>
      </c>
      <c r="Z42" s="72">
        <f t="shared" si="58"/>
        <v>35.104630041003809</v>
      </c>
      <c r="AA42" s="114">
        <f t="shared" si="46"/>
        <v>386.15093045104192</v>
      </c>
      <c r="AB42" s="120">
        <f t="shared" si="59"/>
        <v>0.84615384615384615</v>
      </c>
      <c r="AC42" s="114">
        <f t="shared" si="60"/>
        <v>113.79538995085214</v>
      </c>
      <c r="AD42" s="114">
        <f t="shared" si="61"/>
        <v>1251.7492894593736</v>
      </c>
      <c r="AE42" s="72">
        <f t="shared" si="62"/>
        <v>264.12425796284373</v>
      </c>
      <c r="AF42" s="72">
        <f t="shared" si="63"/>
        <v>2905.3668375912812</v>
      </c>
      <c r="AG42" s="117">
        <f t="shared" si="64"/>
        <v>767377.86008865095</v>
      </c>
      <c r="AH42" s="62"/>
      <c r="AI42" s="141">
        <v>55</v>
      </c>
      <c r="AJ42" s="120">
        <f t="shared" si="49"/>
        <v>605</v>
      </c>
      <c r="AK42" s="165">
        <f t="shared" si="65"/>
        <v>161.5506329113924</v>
      </c>
      <c r="AL42" s="158">
        <f t="shared" si="50"/>
        <v>1777.0569620253164</v>
      </c>
      <c r="AM42" s="138">
        <f t="shared" si="66"/>
        <v>287084.67693478608</v>
      </c>
      <c r="AN42" s="62"/>
    </row>
    <row r="43" spans="1:40">
      <c r="A43" s="52" t="s">
        <v>35</v>
      </c>
      <c r="B43" s="52" t="s">
        <v>30</v>
      </c>
      <c r="C43" s="52">
        <v>40</v>
      </c>
      <c r="D43" s="53" t="s">
        <v>40</v>
      </c>
      <c r="E43" s="55">
        <v>689</v>
      </c>
      <c r="F43" s="55">
        <f t="shared" si="51"/>
        <v>219.78227848101267</v>
      </c>
      <c r="G43" s="55">
        <f t="shared" si="45"/>
        <v>3.1349206349206349</v>
      </c>
      <c r="H43" s="69">
        <f>E43/F$4</f>
        <v>2.6993143976493633E-2</v>
      </c>
      <c r="I43" s="69">
        <f t="shared" si="52"/>
        <v>0.31898734177215193</v>
      </c>
      <c r="J43" s="69">
        <f t="shared" si="53"/>
        <v>6.0273298701942757E-2</v>
      </c>
      <c r="K43" s="71">
        <f t="shared" si="54"/>
        <v>16.591094589746877</v>
      </c>
      <c r="L43" s="72">
        <f t="shared" si="55"/>
        <v>3646.4285714285706</v>
      </c>
      <c r="M43" s="72">
        <v>99</v>
      </c>
      <c r="N43" s="72">
        <v>3</v>
      </c>
      <c r="O43" s="72">
        <v>79</v>
      </c>
      <c r="P43" s="62">
        <v>19</v>
      </c>
      <c r="Q43" s="62">
        <v>46</v>
      </c>
      <c r="R43" s="62">
        <v>15</v>
      </c>
      <c r="S43" s="62">
        <v>11</v>
      </c>
      <c r="T43" s="62">
        <f>SUM(Q43:S43)</f>
        <v>72</v>
      </c>
      <c r="U43" s="62">
        <v>214</v>
      </c>
      <c r="V43" s="71">
        <f t="shared" si="9"/>
        <v>0.57647058823529407</v>
      </c>
      <c r="W43" s="75">
        <f t="shared" si="10"/>
        <v>2.2588235294117647</v>
      </c>
      <c r="X43" s="72">
        <f t="shared" si="56"/>
        <v>178.4470588235294</v>
      </c>
      <c r="Y43" s="114">
        <f t="shared" si="57"/>
        <v>14097.317647058822</v>
      </c>
      <c r="Z43" s="72">
        <f t="shared" si="58"/>
        <v>258.85611495476212</v>
      </c>
      <c r="AA43" s="114">
        <f t="shared" si="46"/>
        <v>20449.633081426207</v>
      </c>
      <c r="AB43" s="120">
        <f t="shared" si="59"/>
        <v>0.80612244897959184</v>
      </c>
      <c r="AC43" s="114">
        <f t="shared" si="60"/>
        <v>13.37445380193881</v>
      </c>
      <c r="AD43" s="114">
        <f t="shared" si="61"/>
        <v>1056.5818503531659</v>
      </c>
      <c r="AE43" s="72">
        <f t="shared" si="62"/>
        <v>31.042713484448754</v>
      </c>
      <c r="AF43" s="72">
        <f t="shared" si="63"/>
        <v>2452.3743652714516</v>
      </c>
      <c r="AG43" s="117">
        <f t="shared" si="64"/>
        <v>76128.354777728542</v>
      </c>
      <c r="AH43" s="62"/>
      <c r="AI43" s="141">
        <v>55</v>
      </c>
      <c r="AJ43" s="120">
        <f t="shared" si="49"/>
        <v>4345</v>
      </c>
      <c r="AK43" s="165">
        <f t="shared" si="65"/>
        <v>161.5506329113924</v>
      </c>
      <c r="AL43" s="158">
        <f t="shared" si="50"/>
        <v>12762.5</v>
      </c>
      <c r="AM43" s="138">
        <f t="shared" si="66"/>
        <v>2061789.9525316455</v>
      </c>
      <c r="AN43" s="62"/>
    </row>
    <row r="44" spans="1:40">
      <c r="A44" s="56" t="s">
        <v>35</v>
      </c>
      <c r="B44" s="56" t="s">
        <v>169</v>
      </c>
      <c r="C44" s="56">
        <v>48</v>
      </c>
      <c r="D44" s="53"/>
      <c r="E44" s="55">
        <v>105</v>
      </c>
      <c r="F44" s="55"/>
      <c r="G44" s="55"/>
      <c r="H44" s="69"/>
      <c r="I44" s="69"/>
      <c r="J44" s="69"/>
      <c r="K44" s="71"/>
      <c r="L44" s="72"/>
      <c r="M44" s="72">
        <v>18</v>
      </c>
      <c r="N44" s="72">
        <v>0</v>
      </c>
      <c r="O44" s="72">
        <f>M44+N44</f>
        <v>18</v>
      </c>
      <c r="P44" s="62">
        <v>1</v>
      </c>
      <c r="Q44" s="62">
        <v>4</v>
      </c>
      <c r="R44" s="62">
        <v>0</v>
      </c>
      <c r="S44" s="62">
        <v>8</v>
      </c>
      <c r="T44" s="62">
        <f>SUM(Q44:S44)</f>
        <v>12</v>
      </c>
      <c r="U44" s="62">
        <v>17</v>
      </c>
      <c r="V44" s="71"/>
      <c r="W44" s="75"/>
      <c r="X44" s="72"/>
      <c r="Y44" s="114"/>
      <c r="Z44" s="114"/>
      <c r="AA44" s="114"/>
      <c r="AB44" s="114"/>
      <c r="AC44" s="114"/>
      <c r="AD44" s="114"/>
      <c r="AE44" s="114"/>
      <c r="AF44" s="114"/>
      <c r="AG44" s="117"/>
      <c r="AH44" s="62"/>
      <c r="AI44" s="142"/>
      <c r="AJ44" s="117"/>
      <c r="AK44" s="166"/>
      <c r="AL44" s="155"/>
      <c r="AM44" s="62"/>
      <c r="AN44" s="62"/>
    </row>
    <row r="45" spans="1:40">
      <c r="A45" s="56" t="s">
        <v>35</v>
      </c>
      <c r="B45" s="56" t="s">
        <v>171</v>
      </c>
      <c r="C45" s="56">
        <v>43</v>
      </c>
      <c r="D45" s="53"/>
      <c r="E45" s="55">
        <v>40</v>
      </c>
      <c r="F45" s="55"/>
      <c r="G45" s="55"/>
      <c r="H45" s="69"/>
      <c r="I45" s="69"/>
      <c r="J45" s="69"/>
      <c r="K45" s="71"/>
      <c r="L45" s="72"/>
      <c r="M45" s="72">
        <v>4</v>
      </c>
      <c r="N45" s="72">
        <v>0</v>
      </c>
      <c r="O45" s="72">
        <f t="shared" si="7"/>
        <v>4</v>
      </c>
      <c r="P45" s="62">
        <v>1</v>
      </c>
      <c r="Q45" s="62">
        <v>8</v>
      </c>
      <c r="R45" s="62">
        <v>0</v>
      </c>
      <c r="S45" s="62">
        <v>0</v>
      </c>
      <c r="T45" s="62">
        <f t="shared" si="8"/>
        <v>8</v>
      </c>
      <c r="U45" s="62">
        <v>27</v>
      </c>
      <c r="V45" s="71"/>
      <c r="W45" s="75"/>
      <c r="X45" s="72"/>
      <c r="Y45" s="114"/>
      <c r="Z45" s="114"/>
      <c r="AA45" s="114"/>
      <c r="AB45" s="114"/>
      <c r="AC45" s="114"/>
      <c r="AD45" s="114"/>
      <c r="AE45" s="114"/>
      <c r="AF45" s="114"/>
      <c r="AG45" s="117"/>
      <c r="AH45" s="62"/>
      <c r="AI45" s="142"/>
      <c r="AJ45" s="117"/>
      <c r="AK45" s="166"/>
      <c r="AL45" s="155"/>
      <c r="AM45" s="62"/>
      <c r="AN45" s="62"/>
    </row>
    <row r="46" spans="1:40">
      <c r="A46" s="56" t="s">
        <v>35</v>
      </c>
      <c r="B46" s="56" t="s">
        <v>172</v>
      </c>
      <c r="C46" s="56">
        <v>44</v>
      </c>
      <c r="D46" s="53"/>
      <c r="E46" s="55">
        <v>56</v>
      </c>
      <c r="F46" s="55"/>
      <c r="G46" s="55"/>
      <c r="H46" s="69"/>
      <c r="I46" s="69"/>
      <c r="J46" s="69"/>
      <c r="K46" s="71"/>
      <c r="L46" s="72"/>
      <c r="M46" s="72">
        <v>4</v>
      </c>
      <c r="N46" s="72">
        <v>2</v>
      </c>
      <c r="O46" s="72">
        <f t="shared" si="7"/>
        <v>6</v>
      </c>
      <c r="P46" s="62">
        <v>0</v>
      </c>
      <c r="Q46" s="62">
        <v>4</v>
      </c>
      <c r="R46" s="62">
        <v>0</v>
      </c>
      <c r="S46" s="62">
        <v>0</v>
      </c>
      <c r="T46" s="62">
        <f t="shared" si="8"/>
        <v>4</v>
      </c>
      <c r="U46" s="62">
        <v>34</v>
      </c>
      <c r="V46" s="71"/>
      <c r="W46" s="75"/>
      <c r="X46" s="72"/>
      <c r="Y46" s="114"/>
      <c r="Z46" s="114"/>
      <c r="AA46" s="114"/>
      <c r="AB46" s="114"/>
      <c r="AC46" s="114"/>
      <c r="AD46" s="114"/>
      <c r="AE46" s="114"/>
      <c r="AF46" s="114"/>
      <c r="AG46" s="117"/>
      <c r="AH46" s="62"/>
      <c r="AI46" s="142"/>
      <c r="AJ46" s="117"/>
      <c r="AK46" s="166"/>
      <c r="AL46" s="155"/>
      <c r="AM46" s="62"/>
      <c r="AN46" s="62"/>
    </row>
    <row r="47" spans="1:40">
      <c r="A47" s="56" t="s">
        <v>35</v>
      </c>
      <c r="B47" s="56" t="s">
        <v>50</v>
      </c>
      <c r="C47" s="56">
        <v>45</v>
      </c>
      <c r="D47" s="53"/>
      <c r="E47" s="55">
        <v>102</v>
      </c>
      <c r="F47" s="55"/>
      <c r="G47" s="55"/>
      <c r="H47" s="69"/>
      <c r="I47" s="69"/>
      <c r="J47" s="69"/>
      <c r="K47" s="71"/>
      <c r="L47" s="72"/>
      <c r="M47" s="72">
        <v>27</v>
      </c>
      <c r="N47" s="72">
        <v>1</v>
      </c>
      <c r="O47" s="72">
        <f>M47+N47</f>
        <v>28</v>
      </c>
      <c r="P47" s="62">
        <v>0</v>
      </c>
      <c r="Q47" s="62">
        <v>10</v>
      </c>
      <c r="R47" s="62">
        <v>15</v>
      </c>
      <c r="S47" s="62">
        <v>1</v>
      </c>
      <c r="T47" s="62">
        <f>SUM(Q47:S47)</f>
        <v>26</v>
      </c>
      <c r="U47" s="62">
        <v>48</v>
      </c>
      <c r="V47" s="71"/>
      <c r="W47" s="75"/>
      <c r="X47" s="72"/>
      <c r="Y47" s="114"/>
      <c r="Z47" s="114"/>
      <c r="AA47" s="114"/>
      <c r="AB47" s="114"/>
      <c r="AC47" s="114"/>
      <c r="AD47" s="114"/>
      <c r="AE47" s="114"/>
      <c r="AF47" s="114"/>
      <c r="AG47" s="117"/>
      <c r="AH47" s="62"/>
      <c r="AI47" s="142"/>
      <c r="AJ47" s="117"/>
      <c r="AK47" s="166"/>
      <c r="AL47" s="155"/>
      <c r="AM47" s="62"/>
      <c r="AN47" s="62"/>
    </row>
    <row r="48" spans="1:40">
      <c r="A48" s="58" t="s">
        <v>35</v>
      </c>
      <c r="B48" s="59" t="s">
        <v>117</v>
      </c>
      <c r="C48" s="59">
        <v>42</v>
      </c>
      <c r="D48" s="53"/>
      <c r="E48" s="53">
        <v>600</v>
      </c>
      <c r="F48" s="53" t="s">
        <v>120</v>
      </c>
      <c r="G48" s="53" t="s">
        <v>120</v>
      </c>
      <c r="H48" s="69"/>
      <c r="I48" s="69"/>
      <c r="J48" s="69"/>
      <c r="K48" s="71"/>
      <c r="L48" s="72"/>
      <c r="M48" s="72">
        <v>0</v>
      </c>
      <c r="N48" s="72">
        <v>9</v>
      </c>
      <c r="O48" s="72">
        <f>M48+N48</f>
        <v>9</v>
      </c>
      <c r="P48" s="62"/>
      <c r="Q48" s="62"/>
      <c r="R48" s="62"/>
      <c r="S48" s="62"/>
      <c r="T48" s="62"/>
      <c r="U48" s="62"/>
      <c r="V48" s="71"/>
      <c r="W48" s="75"/>
      <c r="X48" s="72"/>
      <c r="Y48" s="117"/>
      <c r="Z48" s="117"/>
      <c r="AA48" s="117"/>
      <c r="AB48" s="117"/>
      <c r="AC48" s="117"/>
      <c r="AD48" s="117"/>
      <c r="AE48" s="117"/>
      <c r="AF48" s="117"/>
      <c r="AG48" s="117"/>
      <c r="AH48" s="62"/>
      <c r="AI48" s="142"/>
      <c r="AJ48" s="117"/>
      <c r="AK48" s="166"/>
      <c r="AL48" s="155"/>
      <c r="AM48" s="62"/>
      <c r="AN48" s="62"/>
    </row>
    <row r="49" spans="1:40">
      <c r="A49" s="88"/>
      <c r="B49" s="88"/>
      <c r="C49" s="88"/>
      <c r="D49" s="88"/>
      <c r="E49" s="89">
        <f>SUM(E37:E43)</f>
        <v>1185</v>
      </c>
      <c r="F49" s="89">
        <f>SUM(F37:F43)</f>
        <v>378</v>
      </c>
      <c r="G49" s="88"/>
      <c r="H49" s="91"/>
      <c r="I49" s="91"/>
      <c r="J49" s="91"/>
      <c r="K49" s="91"/>
      <c r="L49" s="94">
        <f>SUM(L37:L47)</f>
        <v>25525</v>
      </c>
      <c r="M49" s="94">
        <f>SUM(M37:M43)</f>
        <v>176</v>
      </c>
      <c r="N49" s="94">
        <f>SUM(N37:N43)</f>
        <v>5</v>
      </c>
      <c r="O49" s="94">
        <f>SUM(O37:O43)</f>
        <v>158</v>
      </c>
      <c r="P49" s="93"/>
      <c r="Q49" s="93"/>
      <c r="R49" s="93"/>
      <c r="S49" s="93"/>
      <c r="T49" s="93"/>
      <c r="U49" s="93"/>
      <c r="V49" s="92"/>
      <c r="W49" s="95"/>
      <c r="X49" s="94"/>
      <c r="Y49" s="115">
        <f>SUM(Y37:Y43)</f>
        <v>17596.111945304438</v>
      </c>
      <c r="Z49" s="115"/>
      <c r="AA49" s="115">
        <f>SUM(AA37:AA48)</f>
        <v>25525</v>
      </c>
      <c r="AB49" s="115"/>
      <c r="AC49" s="115"/>
      <c r="AD49" s="115">
        <f>SUM(AD37:AD48)</f>
        <v>10997.200147000947</v>
      </c>
      <c r="AE49" s="115"/>
      <c r="AF49" s="115">
        <f>SUM(AF37:AF48)</f>
        <v>25524.999999999996</v>
      </c>
      <c r="AG49" s="115">
        <f t="shared" ref="AG49" si="68">SUM(AG37:AG48)</f>
        <v>14174731.974350587</v>
      </c>
      <c r="AH49" s="119"/>
      <c r="AI49" s="142"/>
      <c r="AJ49" s="150">
        <f>SUM(AJ37:AJ48)</f>
        <v>8690</v>
      </c>
      <c r="AK49" s="162"/>
      <c r="AL49" s="161">
        <f>SUM(AL37:AL48)</f>
        <v>25525</v>
      </c>
      <c r="AM49" s="93">
        <f>SUM(AM37:AM48)</f>
        <v>4123579.9050632911</v>
      </c>
      <c r="AN49" s="119"/>
    </row>
    <row r="50" spans="1:40">
      <c r="A50" s="52" t="s">
        <v>124</v>
      </c>
      <c r="B50" s="52" t="s">
        <v>125</v>
      </c>
      <c r="C50" s="52">
        <v>7</v>
      </c>
      <c r="D50" s="53" t="s">
        <v>40</v>
      </c>
      <c r="E50" s="53">
        <v>148</v>
      </c>
      <c r="F50" s="55">
        <f>359*(E50/$E$57)</f>
        <v>33.374371859296481</v>
      </c>
      <c r="G50" s="55">
        <f>E50/F50</f>
        <v>4.4345403899721454</v>
      </c>
      <c r="H50" s="69">
        <f>E50/F$5</f>
        <v>2.6963016942976863E-2</v>
      </c>
      <c r="I50" s="69">
        <f t="shared" ref="I50:I56" si="69">F50/E50</f>
        <v>0.22550251256281406</v>
      </c>
      <c r="J50" s="69">
        <f t="shared" ref="J50:J56" si="70">$H$5*I50*H50</f>
        <v>4.2561596468405058E-2</v>
      </c>
      <c r="K50" s="71">
        <f>1/J50</f>
        <v>23.495359266947013</v>
      </c>
      <c r="L50" s="72">
        <f t="shared" ref="L50:L56" si="71">K50*F50</f>
        <v>784.14285714285722</v>
      </c>
      <c r="M50" s="62">
        <v>12</v>
      </c>
      <c r="N50" s="72">
        <v>0</v>
      </c>
      <c r="O50" s="72">
        <f t="shared" ref="O50:O56" si="72">M50+N50</f>
        <v>12</v>
      </c>
      <c r="P50" s="62">
        <v>2</v>
      </c>
      <c r="Q50" s="62">
        <v>14</v>
      </c>
      <c r="R50" s="62">
        <v>0</v>
      </c>
      <c r="S50" s="62">
        <v>0</v>
      </c>
      <c r="T50" s="62">
        <f t="shared" ref="T50:T56" si="73">SUM(Q50:S50)</f>
        <v>14</v>
      </c>
      <c r="U50" s="62">
        <v>16</v>
      </c>
      <c r="V50" s="71">
        <f t="shared" ref="V50:V56" si="74">(O50+P50)/(O50+P50+T50)</f>
        <v>0.5</v>
      </c>
      <c r="W50" s="75">
        <f t="shared" ref="W50:W56" si="75">(O50+P50+(V50*U50))/(O50+P50)</f>
        <v>1.5714285714285714</v>
      </c>
      <c r="X50" s="72">
        <f t="shared" ref="X50:X56" si="76">K50*W50</f>
        <v>36.921278848059593</v>
      </c>
      <c r="Y50" s="114">
        <f>X50*O50</f>
        <v>443.05534617671515</v>
      </c>
      <c r="Z50" s="72">
        <f>X50*(L$57/Y$57)</f>
        <v>42.077765625795593</v>
      </c>
      <c r="AA50" s="114">
        <f t="shared" ref="AA50:AA75" si="77">O50*Z50</f>
        <v>504.93318750954711</v>
      </c>
      <c r="AB50" s="120">
        <f t="shared" ref="AB50:AB75" si="78">(O50*Z50)/((O50*Z50)+(P50*Z50))</f>
        <v>0.8571428571428571</v>
      </c>
      <c r="AC50" s="114">
        <f t="shared" ref="AC50" si="79">K50*AB50</f>
        <v>20.138879371668867</v>
      </c>
      <c r="AD50" s="114">
        <f t="shared" ref="AD50" si="80">O50*AC50</f>
        <v>241.66655246002642</v>
      </c>
      <c r="AE50" s="72">
        <f>AC50*(AA$57/AD$57)</f>
        <v>52.946477204252098</v>
      </c>
      <c r="AF50" s="72">
        <f t="shared" ref="AF50:AF75" si="81">O50*AE50</f>
        <v>635.3577264510252</v>
      </c>
      <c r="AG50" s="117">
        <f>(AE50^2)*O50</f>
        <v>33639.95338008464</v>
      </c>
      <c r="AH50" s="71">
        <f>$O$57*(AG57/(AF57^2))</f>
        <v>1.6385874483660949</v>
      </c>
      <c r="AI50" s="141">
        <v>11</v>
      </c>
      <c r="AJ50" s="117">
        <f t="shared" ref="AJ50:AJ56" si="82">O50*AI50</f>
        <v>132</v>
      </c>
      <c r="AK50" s="165">
        <f>AI50*(AF$57/AJ$57)</f>
        <v>30.031670804521809</v>
      </c>
      <c r="AL50" s="158">
        <f t="shared" ref="AL50:AL56" si="83">O50*AK50</f>
        <v>360.38004965426171</v>
      </c>
      <c r="AM50" s="138">
        <f>(AK50^2)*O50</f>
        <v>10822.815015734011</v>
      </c>
      <c r="AN50" s="71">
        <f>$O$57*(AM57/(AL57^2))</f>
        <v>1.0000330396225154</v>
      </c>
    </row>
    <row r="51" spans="1:40">
      <c r="A51" s="57" t="s">
        <v>124</v>
      </c>
      <c r="B51" s="57" t="s">
        <v>126</v>
      </c>
      <c r="C51" s="57">
        <v>4</v>
      </c>
      <c r="D51" s="53">
        <v>1980</v>
      </c>
      <c r="E51" s="53">
        <v>122</v>
      </c>
      <c r="F51" s="55">
        <f t="shared" ref="F51:F56" si="84">359*(E51/$E$57)</f>
        <v>27.511306532663315</v>
      </c>
      <c r="G51" s="55">
        <f t="shared" ref="G51:G56" si="85">E51/F51</f>
        <v>4.4345403899721454</v>
      </c>
      <c r="H51" s="69">
        <f t="shared" ref="H51:H56" si="86">E51/F$5</f>
        <v>2.2226270723264711E-2</v>
      </c>
      <c r="I51" s="69">
        <f t="shared" si="69"/>
        <v>0.22550251256281406</v>
      </c>
      <c r="J51" s="69">
        <f t="shared" si="70"/>
        <v>3.5084559250982549E-2</v>
      </c>
      <c r="K51" s="71">
        <f t="shared" ref="K51:K56" si="87">1/J51</f>
        <v>28.502566979575064</v>
      </c>
      <c r="L51" s="72">
        <f t="shared" si="71"/>
        <v>784.14285714285722</v>
      </c>
      <c r="M51" s="62">
        <v>9</v>
      </c>
      <c r="N51" s="72">
        <v>0</v>
      </c>
      <c r="O51" s="72">
        <f t="shared" si="72"/>
        <v>9</v>
      </c>
      <c r="P51" s="62">
        <v>9</v>
      </c>
      <c r="Q51" s="62">
        <v>11</v>
      </c>
      <c r="R51" s="62">
        <v>0</v>
      </c>
      <c r="S51" s="62">
        <v>2</v>
      </c>
      <c r="T51" s="62">
        <f t="shared" si="73"/>
        <v>13</v>
      </c>
      <c r="U51" s="62">
        <v>31</v>
      </c>
      <c r="V51" s="71">
        <f t="shared" si="74"/>
        <v>0.58064516129032262</v>
      </c>
      <c r="W51" s="75">
        <f t="shared" si="75"/>
        <v>2</v>
      </c>
      <c r="X51" s="72">
        <f t="shared" si="76"/>
        <v>57.005133959150129</v>
      </c>
      <c r="Y51" s="114">
        <f t="shared" ref="Y51:Y56" si="88">X51*O51</f>
        <v>513.04620563235119</v>
      </c>
      <c r="Z51" s="72">
        <f t="shared" ref="Z51:Z56" si="89">X51*(L$57/Y$57)</f>
        <v>64.966565109276061</v>
      </c>
      <c r="AA51" s="114">
        <f t="shared" si="77"/>
        <v>584.69908598348457</v>
      </c>
      <c r="AB51" s="120">
        <f t="shared" si="78"/>
        <v>0.5</v>
      </c>
      <c r="AC51" s="114">
        <f t="shared" ref="AC51:AC56" si="90">K51*AB51</f>
        <v>14.251283489787532</v>
      </c>
      <c r="AD51" s="114">
        <f t="shared" ref="AD51:AD56" si="91">O51*AC51</f>
        <v>128.2615514080878</v>
      </c>
      <c r="AE51" s="72">
        <f t="shared" ref="AE51:AE56" si="92">AC51*(AA$57/AD$57)</f>
        <v>37.467589059839604</v>
      </c>
      <c r="AF51" s="72">
        <f t="shared" si="81"/>
        <v>337.20830153855644</v>
      </c>
      <c r="AG51" s="117">
        <f t="shared" ref="AG51:AG56" si="93">(AE51^2)*O51</f>
        <v>12634.382069613112</v>
      </c>
      <c r="AH51" s="62"/>
      <c r="AI51" s="141">
        <v>11</v>
      </c>
      <c r="AJ51" s="117">
        <f t="shared" si="82"/>
        <v>99</v>
      </c>
      <c r="AK51" s="165">
        <f t="shared" ref="AK51:AK56" si="94">AI51*(AF$57/AJ$57)</f>
        <v>30.031670804521809</v>
      </c>
      <c r="AL51" s="158">
        <f t="shared" si="83"/>
        <v>270.28503724069628</v>
      </c>
      <c r="AM51" s="138">
        <f t="shared" ref="AM51:AM56" si="95">(AK51^2)*O51</f>
        <v>8117.1112618005081</v>
      </c>
      <c r="AN51" s="62"/>
    </row>
    <row r="52" spans="1:40">
      <c r="A52" s="57" t="s">
        <v>124</v>
      </c>
      <c r="B52" s="57" t="s">
        <v>127</v>
      </c>
      <c r="C52" s="57">
        <v>3</v>
      </c>
      <c r="D52" s="53">
        <v>1980</v>
      </c>
      <c r="E52" s="53">
        <v>88</v>
      </c>
      <c r="F52" s="55">
        <f t="shared" si="84"/>
        <v>19.844221105527641</v>
      </c>
      <c r="G52" s="55">
        <f t="shared" si="85"/>
        <v>4.4345403899721445</v>
      </c>
      <c r="H52" s="69">
        <f t="shared" si="86"/>
        <v>1.6032064128256512E-2</v>
      </c>
      <c r="I52" s="69">
        <f t="shared" si="69"/>
        <v>0.22550251256281409</v>
      </c>
      <c r="J52" s="69">
        <f t="shared" si="70"/>
        <v>2.5306895197430037E-2</v>
      </c>
      <c r="K52" s="71">
        <f t="shared" si="87"/>
        <v>39.514922403501792</v>
      </c>
      <c r="L52" s="72">
        <f t="shared" si="71"/>
        <v>784.14285714285734</v>
      </c>
      <c r="M52" s="62">
        <v>11</v>
      </c>
      <c r="N52" s="72">
        <v>0</v>
      </c>
      <c r="O52" s="72">
        <f t="shared" si="72"/>
        <v>11</v>
      </c>
      <c r="P52" s="62">
        <v>5</v>
      </c>
      <c r="Q52" s="62">
        <v>12</v>
      </c>
      <c r="R52" s="62">
        <v>5</v>
      </c>
      <c r="S52" s="62">
        <v>13</v>
      </c>
      <c r="T52" s="62">
        <f t="shared" si="73"/>
        <v>30</v>
      </c>
      <c r="U52" s="62">
        <v>29</v>
      </c>
      <c r="V52" s="71">
        <f t="shared" si="74"/>
        <v>0.34782608695652173</v>
      </c>
      <c r="W52" s="75">
        <f t="shared" si="75"/>
        <v>1.6304347826086958</v>
      </c>
      <c r="X52" s="72">
        <f t="shared" si="76"/>
        <v>64.426503918752928</v>
      </c>
      <c r="Y52" s="114">
        <f t="shared" si="88"/>
        <v>708.69154310628221</v>
      </c>
      <c r="Z52" s="72">
        <f t="shared" si="89"/>
        <v>73.42441585349259</v>
      </c>
      <c r="AA52" s="114">
        <f t="shared" si="77"/>
        <v>807.66857438841851</v>
      </c>
      <c r="AB52" s="120">
        <f t="shared" si="78"/>
        <v>0.6875</v>
      </c>
      <c r="AC52" s="114">
        <f t="shared" si="90"/>
        <v>27.166509152407482</v>
      </c>
      <c r="AD52" s="114">
        <f t="shared" si="91"/>
        <v>298.83160067648231</v>
      </c>
      <c r="AE52" s="72">
        <f t="shared" si="92"/>
        <v>71.42259164531923</v>
      </c>
      <c r="AF52" s="72">
        <f t="shared" si="81"/>
        <v>785.64850809851157</v>
      </c>
      <c r="AG52" s="117">
        <f t="shared" si="93"/>
        <v>56113.05257067427</v>
      </c>
      <c r="AH52" s="62"/>
      <c r="AI52" s="141">
        <v>11</v>
      </c>
      <c r="AJ52" s="117">
        <f t="shared" si="82"/>
        <v>121</v>
      </c>
      <c r="AK52" s="165">
        <f t="shared" si="94"/>
        <v>30.031670804521809</v>
      </c>
      <c r="AL52" s="158">
        <f t="shared" si="83"/>
        <v>330.3483788497399</v>
      </c>
      <c r="AM52" s="138">
        <f t="shared" si="95"/>
        <v>9920.9137644228431</v>
      </c>
      <c r="AN52" s="62"/>
    </row>
    <row r="53" spans="1:40">
      <c r="A53" s="52" t="s">
        <v>124</v>
      </c>
      <c r="B53" s="52" t="s">
        <v>128</v>
      </c>
      <c r="C53" s="52">
        <v>1</v>
      </c>
      <c r="D53" s="53" t="s">
        <v>40</v>
      </c>
      <c r="E53" s="53">
        <v>457</v>
      </c>
      <c r="F53" s="55">
        <f t="shared" si="84"/>
        <v>103.05464824120604</v>
      </c>
      <c r="G53" s="55">
        <f t="shared" si="85"/>
        <v>4.4345403899721445</v>
      </c>
      <c r="H53" s="69">
        <f t="shared" si="86"/>
        <v>8.325742393878667E-2</v>
      </c>
      <c r="I53" s="69">
        <f t="shared" si="69"/>
        <v>0.22550251256281409</v>
      </c>
      <c r="J53" s="69">
        <f t="shared" si="70"/>
        <v>0.13142330801392646</v>
      </c>
      <c r="K53" s="71">
        <f t="shared" si="87"/>
        <v>7.6090003752913722</v>
      </c>
      <c r="L53" s="72">
        <f t="shared" si="71"/>
        <v>784.14285714285711</v>
      </c>
      <c r="M53" s="62">
        <v>64</v>
      </c>
      <c r="N53" s="72">
        <v>0</v>
      </c>
      <c r="O53" s="72">
        <f t="shared" si="72"/>
        <v>64</v>
      </c>
      <c r="P53" s="62">
        <v>51</v>
      </c>
      <c r="Q53" s="62">
        <v>88</v>
      </c>
      <c r="R53" s="62">
        <v>19</v>
      </c>
      <c r="S53" s="62">
        <v>9</v>
      </c>
      <c r="T53" s="62">
        <f t="shared" si="73"/>
        <v>116</v>
      </c>
      <c r="U53" s="62">
        <v>197</v>
      </c>
      <c r="V53" s="71">
        <f t="shared" si="74"/>
        <v>0.49783549783549785</v>
      </c>
      <c r="W53" s="75">
        <f t="shared" si="75"/>
        <v>1.8528138528138529</v>
      </c>
      <c r="X53" s="72">
        <f t="shared" si="76"/>
        <v>14.098061301405661</v>
      </c>
      <c r="Y53" s="114">
        <f t="shared" si="88"/>
        <v>902.27592328996229</v>
      </c>
      <c r="Z53" s="72">
        <f t="shared" si="89"/>
        <v>16.067019825068243</v>
      </c>
      <c r="AA53" s="114">
        <f t="shared" si="77"/>
        <v>1028.2892688043676</v>
      </c>
      <c r="AB53" s="120">
        <f t="shared" si="78"/>
        <v>0.55652173913043479</v>
      </c>
      <c r="AC53" s="114">
        <f t="shared" si="90"/>
        <v>4.2345741219012858</v>
      </c>
      <c r="AD53" s="114">
        <f t="shared" si="91"/>
        <v>271.01274380168229</v>
      </c>
      <c r="AE53" s="72">
        <f t="shared" si="92"/>
        <v>11.132982033269053</v>
      </c>
      <c r="AF53" s="72">
        <f t="shared" si="81"/>
        <v>712.51085012921942</v>
      </c>
      <c r="AG53" s="117">
        <f t="shared" si="93"/>
        <v>7932.3704929978594</v>
      </c>
      <c r="AH53" s="62"/>
      <c r="AI53" s="141">
        <v>11.132982033269053</v>
      </c>
      <c r="AJ53" s="117">
        <f t="shared" si="82"/>
        <v>712.51085012921942</v>
      </c>
      <c r="AK53" s="165">
        <f t="shared" si="94"/>
        <v>30.394731954162918</v>
      </c>
      <c r="AL53" s="158">
        <f t="shared" si="83"/>
        <v>1945.2628450664267</v>
      </c>
      <c r="AM53" s="138">
        <f t="shared" si="95"/>
        <v>59125.742756186388</v>
      </c>
      <c r="AN53" s="62"/>
    </row>
    <row r="54" spans="1:40">
      <c r="A54" s="52" t="s">
        <v>124</v>
      </c>
      <c r="B54" s="52" t="s">
        <v>129</v>
      </c>
      <c r="C54" s="52">
        <v>6</v>
      </c>
      <c r="D54" s="53" t="s">
        <v>40</v>
      </c>
      <c r="E54" s="53">
        <v>63</v>
      </c>
      <c r="F54" s="55">
        <f t="shared" si="84"/>
        <v>14.206658291457286</v>
      </c>
      <c r="G54" s="55">
        <f t="shared" si="85"/>
        <v>4.4345403899721454</v>
      </c>
      <c r="H54" s="69">
        <f t="shared" si="86"/>
        <v>1.1477500455456367E-2</v>
      </c>
      <c r="I54" s="69">
        <f t="shared" si="69"/>
        <v>0.22550251256281406</v>
      </c>
      <c r="J54" s="69">
        <f t="shared" si="70"/>
        <v>1.8117436334523774E-2</v>
      </c>
      <c r="K54" s="71">
        <f t="shared" si="87"/>
        <v>55.195447166796157</v>
      </c>
      <c r="L54" s="72">
        <f t="shared" si="71"/>
        <v>784.14285714285722</v>
      </c>
      <c r="M54" s="62">
        <v>11</v>
      </c>
      <c r="N54" s="72">
        <v>0</v>
      </c>
      <c r="O54" s="72">
        <f t="shared" si="72"/>
        <v>11</v>
      </c>
      <c r="P54" s="62">
        <v>5</v>
      </c>
      <c r="Q54" s="62">
        <v>11</v>
      </c>
      <c r="R54" s="62">
        <v>0</v>
      </c>
      <c r="S54" s="62">
        <v>2</v>
      </c>
      <c r="T54" s="62">
        <f t="shared" si="73"/>
        <v>13</v>
      </c>
      <c r="U54" s="62">
        <v>21</v>
      </c>
      <c r="V54" s="71">
        <f t="shared" si="74"/>
        <v>0.55172413793103448</v>
      </c>
      <c r="W54" s="75">
        <f t="shared" si="75"/>
        <v>1.7241379310344827</v>
      </c>
      <c r="X54" s="72">
        <f t="shared" si="76"/>
        <v>95.164564080683022</v>
      </c>
      <c r="Y54" s="114">
        <f t="shared" si="88"/>
        <v>1046.8102048875132</v>
      </c>
      <c r="Z54" s="72">
        <f t="shared" si="89"/>
        <v>108.45540426014885</v>
      </c>
      <c r="AA54" s="114">
        <f t="shared" si="77"/>
        <v>1193.0094468616373</v>
      </c>
      <c r="AB54" s="120">
        <f t="shared" si="78"/>
        <v>0.6875</v>
      </c>
      <c r="AC54" s="114">
        <f t="shared" si="90"/>
        <v>37.946869927172358</v>
      </c>
      <c r="AD54" s="114">
        <f t="shared" si="91"/>
        <v>417.41556919889592</v>
      </c>
      <c r="AE54" s="72">
        <f t="shared" si="92"/>
        <v>99.764889917271319</v>
      </c>
      <c r="AF54" s="72">
        <f t="shared" si="81"/>
        <v>1097.4137890899844</v>
      </c>
      <c r="AG54" s="117">
        <f t="shared" si="93"/>
        <v>109483.36586225791</v>
      </c>
      <c r="AH54" s="62"/>
      <c r="AI54" s="141">
        <v>11</v>
      </c>
      <c r="AJ54" s="117">
        <f t="shared" si="82"/>
        <v>121</v>
      </c>
      <c r="AK54" s="165">
        <f t="shared" si="94"/>
        <v>30.031670804521809</v>
      </c>
      <c r="AL54" s="158">
        <f t="shared" si="83"/>
        <v>330.3483788497399</v>
      </c>
      <c r="AM54" s="138">
        <f t="shared" si="95"/>
        <v>9920.9137644228431</v>
      </c>
      <c r="AN54" s="62"/>
    </row>
    <row r="55" spans="1:40">
      <c r="A55" s="52" t="s">
        <v>124</v>
      </c>
      <c r="B55" s="52" t="s">
        <v>130</v>
      </c>
      <c r="C55" s="52">
        <v>2</v>
      </c>
      <c r="D55" s="53" t="s">
        <v>40</v>
      </c>
      <c r="E55" s="53">
        <v>445</v>
      </c>
      <c r="F55" s="55">
        <f t="shared" si="84"/>
        <v>100.34861809045225</v>
      </c>
      <c r="G55" s="55">
        <f t="shared" si="85"/>
        <v>4.4345403899721454</v>
      </c>
      <c r="H55" s="69">
        <f t="shared" si="86"/>
        <v>8.10712333758426E-2</v>
      </c>
      <c r="I55" s="69">
        <f t="shared" si="69"/>
        <v>0.22550251256281403</v>
      </c>
      <c r="J55" s="69">
        <f t="shared" si="70"/>
        <v>0.12797236775973142</v>
      </c>
      <c r="K55" s="71">
        <f t="shared" si="87"/>
        <v>7.814186902265523</v>
      </c>
      <c r="L55" s="72">
        <f t="shared" si="71"/>
        <v>784.14285714285711</v>
      </c>
      <c r="M55" s="62">
        <v>24</v>
      </c>
      <c r="N55" s="72">
        <v>0</v>
      </c>
      <c r="O55" s="72">
        <f t="shared" si="72"/>
        <v>24</v>
      </c>
      <c r="P55" s="62">
        <v>4</v>
      </c>
      <c r="Q55" s="62">
        <v>84</v>
      </c>
      <c r="R55" s="62">
        <v>0</v>
      </c>
      <c r="S55" s="62">
        <v>7</v>
      </c>
      <c r="T55" s="62">
        <f t="shared" si="73"/>
        <v>91</v>
      </c>
      <c r="U55" s="62">
        <v>74</v>
      </c>
      <c r="V55" s="71">
        <f t="shared" si="74"/>
        <v>0.23529411764705882</v>
      </c>
      <c r="W55" s="75">
        <f t="shared" si="75"/>
        <v>1.6218487394957981</v>
      </c>
      <c r="X55" s="72">
        <f t="shared" si="76"/>
        <v>12.673429177623914</v>
      </c>
      <c r="Y55" s="114">
        <f t="shared" si="88"/>
        <v>304.16230026297393</v>
      </c>
      <c r="Z55" s="72">
        <f t="shared" si="89"/>
        <v>14.443421226163855</v>
      </c>
      <c r="AA55" s="114">
        <f t="shared" si="77"/>
        <v>346.6421094279325</v>
      </c>
      <c r="AB55" s="120">
        <f t="shared" si="78"/>
        <v>0.85714285714285721</v>
      </c>
      <c r="AC55" s="114">
        <f t="shared" si="90"/>
        <v>6.6978744876561631</v>
      </c>
      <c r="AD55" s="114">
        <f t="shared" si="91"/>
        <v>160.7489877037479</v>
      </c>
      <c r="AE55" s="72">
        <f t="shared" si="92"/>
        <v>17.609165452200699</v>
      </c>
      <c r="AF55" s="72">
        <f t="shared" si="81"/>
        <v>422.61997085281678</v>
      </c>
      <c r="AG55" s="117">
        <f t="shared" si="93"/>
        <v>7441.9849901514881</v>
      </c>
      <c r="AH55" s="62"/>
      <c r="AI55" s="141">
        <v>11</v>
      </c>
      <c r="AJ55" s="117">
        <f t="shared" si="82"/>
        <v>264</v>
      </c>
      <c r="AK55" s="165">
        <f t="shared" si="94"/>
        <v>30.031670804521809</v>
      </c>
      <c r="AL55" s="158">
        <f t="shared" si="83"/>
        <v>720.76009930852342</v>
      </c>
      <c r="AM55" s="138">
        <f t="shared" si="95"/>
        <v>21645.630031468023</v>
      </c>
      <c r="AN55" s="62"/>
    </row>
    <row r="56" spans="1:40">
      <c r="A56" s="52" t="s">
        <v>124</v>
      </c>
      <c r="B56" s="52" t="s">
        <v>131</v>
      </c>
      <c r="C56" s="52">
        <v>5</v>
      </c>
      <c r="D56" s="53">
        <v>1987</v>
      </c>
      <c r="E56" s="53">
        <v>269</v>
      </c>
      <c r="F56" s="55">
        <f t="shared" si="84"/>
        <v>60.660175879396981</v>
      </c>
      <c r="G56" s="55">
        <f t="shared" si="85"/>
        <v>4.4345403899721454</v>
      </c>
      <c r="H56" s="69">
        <f t="shared" si="86"/>
        <v>4.9007105119329569E-2</v>
      </c>
      <c r="I56" s="69">
        <f t="shared" si="69"/>
        <v>0.22550251256281406</v>
      </c>
      <c r="J56" s="69">
        <f t="shared" si="70"/>
        <v>7.7358577364871353E-2</v>
      </c>
      <c r="K56" s="71">
        <f t="shared" si="87"/>
        <v>12.926814763970848</v>
      </c>
      <c r="L56" s="72">
        <f t="shared" si="71"/>
        <v>784.14285714285722</v>
      </c>
      <c r="M56" s="62">
        <v>51</v>
      </c>
      <c r="N56" s="72">
        <v>0</v>
      </c>
      <c r="O56" s="72">
        <f t="shared" si="72"/>
        <v>51</v>
      </c>
      <c r="P56" s="62">
        <v>8</v>
      </c>
      <c r="Q56" s="62">
        <v>107</v>
      </c>
      <c r="R56" s="62">
        <v>5</v>
      </c>
      <c r="S56" s="62">
        <v>0</v>
      </c>
      <c r="T56" s="62">
        <f t="shared" si="73"/>
        <v>112</v>
      </c>
      <c r="U56" s="62">
        <v>62</v>
      </c>
      <c r="V56" s="71">
        <f t="shared" si="74"/>
        <v>0.34502923976608185</v>
      </c>
      <c r="W56" s="75">
        <f t="shared" si="75"/>
        <v>1.3625730994152045</v>
      </c>
      <c r="X56" s="72">
        <f t="shared" si="76"/>
        <v>17.613730058509983</v>
      </c>
      <c r="Y56" s="114">
        <f t="shared" si="88"/>
        <v>898.30023298400909</v>
      </c>
      <c r="Z56" s="72">
        <f t="shared" si="89"/>
        <v>20.073692686757116</v>
      </c>
      <c r="AA56" s="114">
        <f t="shared" si="77"/>
        <v>1023.758327024613</v>
      </c>
      <c r="AB56" s="120">
        <f t="shared" si="78"/>
        <v>0.86440677966101698</v>
      </c>
      <c r="AC56" s="114">
        <f t="shared" si="90"/>
        <v>11.17402632139853</v>
      </c>
      <c r="AD56" s="114">
        <f t="shared" si="91"/>
        <v>569.87534239132503</v>
      </c>
      <c r="AE56" s="72">
        <f t="shared" si="92"/>
        <v>29.377271643919354</v>
      </c>
      <c r="AF56" s="72">
        <f t="shared" si="81"/>
        <v>1498.240853839887</v>
      </c>
      <c r="AG56" s="117">
        <f t="shared" si="93"/>
        <v>44014.228551272034</v>
      </c>
      <c r="AH56" s="62"/>
      <c r="AI56" s="141">
        <v>11</v>
      </c>
      <c r="AJ56" s="117">
        <f t="shared" si="82"/>
        <v>561</v>
      </c>
      <c r="AK56" s="165">
        <f t="shared" si="94"/>
        <v>30.031670804521809</v>
      </c>
      <c r="AL56" s="158">
        <f t="shared" si="83"/>
        <v>1531.6152110306123</v>
      </c>
      <c r="AM56" s="138">
        <f t="shared" si="95"/>
        <v>45996.963816869546</v>
      </c>
      <c r="AN56" s="62"/>
    </row>
    <row r="57" spans="1:40" s="102" customFormat="1">
      <c r="A57" s="88"/>
      <c r="B57" s="88"/>
      <c r="C57" s="88"/>
      <c r="D57" s="88"/>
      <c r="E57" s="88">
        <f>SUM(E50:E56)</f>
        <v>1592</v>
      </c>
      <c r="F57" s="89">
        <f>SUM(F50:F56)</f>
        <v>359</v>
      </c>
      <c r="G57" s="89"/>
      <c r="H57" s="91"/>
      <c r="I57" s="91"/>
      <c r="J57" s="91"/>
      <c r="K57" s="91"/>
      <c r="L57" s="94">
        <f>SUM(L50:L56)</f>
        <v>5489</v>
      </c>
      <c r="M57" s="94">
        <f>SUM(M50:M56)</f>
        <v>182</v>
      </c>
      <c r="N57" s="94">
        <f>SUM(N50:N56)</f>
        <v>0</v>
      </c>
      <c r="O57" s="94">
        <f>SUM(O50:O56)</f>
        <v>182</v>
      </c>
      <c r="P57" s="93"/>
      <c r="Q57" s="93"/>
      <c r="R57" s="93"/>
      <c r="S57" s="93"/>
      <c r="T57" s="93"/>
      <c r="U57" s="93"/>
      <c r="V57" s="92"/>
      <c r="W57" s="95"/>
      <c r="X57" s="94"/>
      <c r="Y57" s="115">
        <f>SUM(Y50:Y56)</f>
        <v>4816.341756339807</v>
      </c>
      <c r="Z57" s="115"/>
      <c r="AA57" s="115">
        <f>SUM(AA50:AA56)</f>
        <v>5489.0000000000009</v>
      </c>
      <c r="AB57" s="115"/>
      <c r="AC57" s="115"/>
      <c r="AD57" s="115">
        <f>SUM(AD50:AD56)</f>
        <v>2087.8123476402475</v>
      </c>
      <c r="AE57" s="115"/>
      <c r="AF57" s="115">
        <f>SUM(AF50:AF56)</f>
        <v>5489</v>
      </c>
      <c r="AG57" s="115">
        <f>SUM(AG50:AG56)</f>
        <v>271259.33791705128</v>
      </c>
      <c r="AH57" s="93"/>
      <c r="AI57" s="145"/>
      <c r="AJ57" s="151">
        <f>SUM(AJ50:AJ56)</f>
        <v>2010.5108501292193</v>
      </c>
      <c r="AK57" s="167"/>
      <c r="AL57" s="131">
        <f>SUM(AL50:AL56)</f>
        <v>5489</v>
      </c>
      <c r="AM57" s="93">
        <f>SUM(AM50:AM56)</f>
        <v>165550.09041090417</v>
      </c>
      <c r="AN57" s="93"/>
    </row>
    <row r="58" spans="1:40">
      <c r="A58" s="52" t="s">
        <v>38</v>
      </c>
      <c r="B58" s="52" t="s">
        <v>18</v>
      </c>
      <c r="C58" s="52">
        <v>14</v>
      </c>
      <c r="D58" s="53">
        <v>1963</v>
      </c>
      <c r="E58" s="53">
        <v>31</v>
      </c>
      <c r="F58" s="55">
        <f>362*(E58/E$68)</f>
        <v>11.48618219037871</v>
      </c>
      <c r="G58" s="55">
        <f t="shared" ref="G58:G75" si="96">E58/F58</f>
        <v>2.6988950276243098</v>
      </c>
      <c r="H58" s="69">
        <f>E58/F$6</f>
        <v>3.7412503017137341E-3</v>
      </c>
      <c r="I58" s="69">
        <f t="shared" ref="I58:I67" si="97">F58/E58</f>
        <v>0.37052200614124869</v>
      </c>
      <c r="J58" s="69">
        <f t="shared" ref="J58:J67" si="98">$H$6*I58*H58</f>
        <v>1.3862155672675246E-2</v>
      </c>
      <c r="K58" s="71">
        <f t="shared" ref="K58:K67" si="99">1/J58</f>
        <v>72.138852254500094</v>
      </c>
      <c r="L58" s="62">
        <f t="shared" ref="L58:L67" si="100">F58*K58</f>
        <v>828.6</v>
      </c>
      <c r="M58" s="72">
        <v>3</v>
      </c>
      <c r="N58" s="72"/>
      <c r="O58" s="72">
        <f t="shared" si="7"/>
        <v>3</v>
      </c>
      <c r="P58" s="62">
        <v>1</v>
      </c>
      <c r="Q58" s="62">
        <v>4</v>
      </c>
      <c r="R58" s="62">
        <v>2</v>
      </c>
      <c r="S58" s="62">
        <v>3</v>
      </c>
      <c r="T58" s="62">
        <f t="shared" si="8"/>
        <v>9</v>
      </c>
      <c r="U58" s="62">
        <v>22</v>
      </c>
      <c r="V58" s="71">
        <f t="shared" si="9"/>
        <v>0.30769230769230771</v>
      </c>
      <c r="W58" s="75">
        <f t="shared" si="10"/>
        <v>2.6923076923076925</v>
      </c>
      <c r="X58" s="69">
        <f t="shared" ref="X58:X67" si="101">K58*W58</f>
        <v>194.21998683903874</v>
      </c>
      <c r="Y58" s="114">
        <f>X58*O58</f>
        <v>582.65996051711625</v>
      </c>
      <c r="Z58" s="72">
        <f>X58*(L$68/Y$68)</f>
        <v>266.97681581146765</v>
      </c>
      <c r="AA58" s="114">
        <f t="shared" si="77"/>
        <v>800.93044743440294</v>
      </c>
      <c r="AB58" s="120">
        <f t="shared" si="78"/>
        <v>0.75</v>
      </c>
      <c r="AC58" s="114">
        <f t="shared" ref="AC58" si="102">K58*AB58</f>
        <v>54.104139190875074</v>
      </c>
      <c r="AD58" s="114">
        <f t="shared" ref="AD58" si="103">O58*AC58</f>
        <v>162.31241757262524</v>
      </c>
      <c r="AE58" s="72">
        <f>AC58*(AA$68/AD$68)</f>
        <v>250.34732241811685</v>
      </c>
      <c r="AF58" s="72">
        <f t="shared" si="81"/>
        <v>751.04196725435054</v>
      </c>
      <c r="AG58" s="117">
        <f>(AE58^2)*O58</f>
        <v>188021.34552576166</v>
      </c>
      <c r="AH58" s="71">
        <f>$O$68*(AG68/(AF68^2))</f>
        <v>1.5859369321078181</v>
      </c>
      <c r="AI58" s="141">
        <v>26</v>
      </c>
      <c r="AJ58" s="117">
        <f t="shared" ref="AJ58:AJ67" si="104">O58*AI58</f>
        <v>78</v>
      </c>
      <c r="AK58" s="165">
        <f>AI58*(AF$68/AJ$68)</f>
        <v>63.069780000743719</v>
      </c>
      <c r="AL58" s="158">
        <f t="shared" ref="AL58:AL67" si="105">O58*AK58</f>
        <v>189.20934000223116</v>
      </c>
      <c r="AM58" s="138">
        <f>(AK58^2)*O58</f>
        <v>11933.391448026638</v>
      </c>
      <c r="AN58" s="71">
        <f>$O$68*(AM68/(AL68^2))</f>
        <v>1.0000460151712949</v>
      </c>
    </row>
    <row r="59" spans="1:40">
      <c r="A59" s="52" t="s">
        <v>38</v>
      </c>
      <c r="B59" s="52" t="s">
        <v>22</v>
      </c>
      <c r="C59" s="52">
        <v>16</v>
      </c>
      <c r="D59" s="53">
        <v>1963</v>
      </c>
      <c r="E59" s="53">
        <v>25</v>
      </c>
      <c r="F59" s="55">
        <f>362*(E59/E$68)</f>
        <v>9.2630501535312177</v>
      </c>
      <c r="G59" s="55">
        <f t="shared" si="96"/>
        <v>2.6988950276243093</v>
      </c>
      <c r="H59" s="69">
        <f t="shared" ref="H59:H67" si="106">E59/F$6</f>
        <v>3.0171373400917209E-3</v>
      </c>
      <c r="I59" s="69">
        <f t="shared" si="97"/>
        <v>0.37052200614124869</v>
      </c>
      <c r="J59" s="69">
        <f t="shared" si="98"/>
        <v>1.1179157800544553E-2</v>
      </c>
      <c r="K59" s="71">
        <f t="shared" si="99"/>
        <v>89.452176795580129</v>
      </c>
      <c r="L59" s="62">
        <f t="shared" si="100"/>
        <v>828.60000000000014</v>
      </c>
      <c r="M59" s="72">
        <v>1</v>
      </c>
      <c r="N59" s="72"/>
      <c r="O59" s="72">
        <f t="shared" si="7"/>
        <v>1</v>
      </c>
      <c r="P59" s="62">
        <v>3</v>
      </c>
      <c r="Q59" s="62">
        <v>1</v>
      </c>
      <c r="R59" s="62">
        <v>1</v>
      </c>
      <c r="S59" s="62">
        <v>0</v>
      </c>
      <c r="T59" s="62">
        <f t="shared" si="8"/>
        <v>2</v>
      </c>
      <c r="U59" s="62">
        <v>18</v>
      </c>
      <c r="V59" s="71">
        <f t="shared" si="9"/>
        <v>0.66666666666666663</v>
      </c>
      <c r="W59" s="75">
        <f t="shared" si="10"/>
        <v>4</v>
      </c>
      <c r="X59" s="69">
        <f t="shared" si="101"/>
        <v>357.80870718232052</v>
      </c>
      <c r="Y59" s="114">
        <f t="shared" ref="Y59:Y67" si="107">X59*O59</f>
        <v>357.80870718232052</v>
      </c>
      <c r="Z59" s="72">
        <f t="shared" ref="Z59:Z67" si="108">X59*(L$68/Y$68)</f>
        <v>491.8475738149553</v>
      </c>
      <c r="AA59" s="114">
        <f t="shared" si="77"/>
        <v>491.8475738149553</v>
      </c>
      <c r="AB59" s="120">
        <f t="shared" si="78"/>
        <v>0.25</v>
      </c>
      <c r="AC59" s="114">
        <f>K59*AB59</f>
        <v>22.363044198895032</v>
      </c>
      <c r="AD59" s="114">
        <f t="shared" ref="AD59:AD67" si="109">O59*AC59</f>
        <v>22.363044198895032</v>
      </c>
      <c r="AE59" s="72">
        <f t="shared" ref="AE59:AE67" si="110">AC59*(AA$68/AD$68)</f>
        <v>103.47689326615496</v>
      </c>
      <c r="AF59" s="72">
        <f t="shared" si="81"/>
        <v>103.47689326615496</v>
      </c>
      <c r="AG59" s="117">
        <f t="shared" ref="AG59:AG67" si="111">(AE59^2)*O59</f>
        <v>10707.467440015225</v>
      </c>
      <c r="AH59" s="62"/>
      <c r="AI59" s="141">
        <v>26</v>
      </c>
      <c r="AJ59" s="117">
        <f t="shared" si="104"/>
        <v>26</v>
      </c>
      <c r="AK59" s="165">
        <f t="shared" ref="AK59:AK75" si="112">AI59*(AF$68/AJ$68)</f>
        <v>63.069780000743719</v>
      </c>
      <c r="AL59" s="158">
        <f t="shared" si="105"/>
        <v>63.069780000743719</v>
      </c>
      <c r="AM59" s="138">
        <f t="shared" ref="AM59:AM67" si="113">(AK59^2)*O59</f>
        <v>3977.7971493422124</v>
      </c>
      <c r="AN59" s="62"/>
    </row>
    <row r="60" spans="1:40">
      <c r="A60" s="52" t="s">
        <v>38</v>
      </c>
      <c r="B60" s="52" t="s">
        <v>21</v>
      </c>
      <c r="C60" s="52">
        <v>15</v>
      </c>
      <c r="D60" s="53">
        <v>1985</v>
      </c>
      <c r="E60" s="53">
        <v>43</v>
      </c>
      <c r="F60" s="55">
        <f t="shared" ref="F60:F66" si="114">362*(E60/E$68)</f>
        <v>15.932446264073693</v>
      </c>
      <c r="G60" s="55">
        <f t="shared" si="96"/>
        <v>2.6988950276243098</v>
      </c>
      <c r="H60" s="69">
        <f t="shared" si="106"/>
        <v>5.18947622495776E-3</v>
      </c>
      <c r="I60" s="69">
        <f t="shared" si="97"/>
        <v>0.37052200614124869</v>
      </c>
      <c r="J60" s="69">
        <f t="shared" si="98"/>
        <v>1.9228151416936633E-2</v>
      </c>
      <c r="K60" s="71">
        <f t="shared" si="99"/>
        <v>52.007079532314016</v>
      </c>
      <c r="L60" s="62">
        <f t="shared" si="100"/>
        <v>828.59999999999991</v>
      </c>
      <c r="M60" s="72">
        <v>6</v>
      </c>
      <c r="N60" s="72"/>
      <c r="O60" s="72">
        <f t="shared" si="7"/>
        <v>6</v>
      </c>
      <c r="P60" s="62">
        <v>6</v>
      </c>
      <c r="Q60" s="62">
        <v>53</v>
      </c>
      <c r="R60" s="62">
        <v>3</v>
      </c>
      <c r="S60" s="62">
        <v>0</v>
      </c>
      <c r="T60" s="62">
        <f t="shared" si="8"/>
        <v>56</v>
      </c>
      <c r="U60" s="62">
        <v>30</v>
      </c>
      <c r="V60" s="71">
        <f t="shared" si="9"/>
        <v>0.17647058823529413</v>
      </c>
      <c r="W60" s="75">
        <f t="shared" si="10"/>
        <v>1.4411764705882355</v>
      </c>
      <c r="X60" s="69">
        <f t="shared" si="101"/>
        <v>74.951379325981975</v>
      </c>
      <c r="Y60" s="114">
        <f t="shared" si="107"/>
        <v>449.70827595589185</v>
      </c>
      <c r="Z60" s="72">
        <f t="shared" si="108"/>
        <v>103.0289462933174</v>
      </c>
      <c r="AA60" s="114">
        <f t="shared" si="77"/>
        <v>618.17367775990442</v>
      </c>
      <c r="AB60" s="120">
        <f t="shared" si="78"/>
        <v>0.5</v>
      </c>
      <c r="AC60" s="114">
        <f t="shared" ref="AC60:AC67" si="115">K60*AB60</f>
        <v>26.003539766157008</v>
      </c>
      <c r="AD60" s="114">
        <f t="shared" si="109"/>
        <v>156.02123859694206</v>
      </c>
      <c r="AE60" s="72">
        <f t="shared" si="110"/>
        <v>120.32196891413365</v>
      </c>
      <c r="AF60" s="72">
        <f t="shared" si="81"/>
        <v>721.93181348480186</v>
      </c>
      <c r="AG60" s="117">
        <f t="shared" si="111"/>
        <v>86864.257220242464</v>
      </c>
      <c r="AH60" s="62"/>
      <c r="AI60" s="141">
        <v>26</v>
      </c>
      <c r="AJ60" s="117">
        <f t="shared" si="104"/>
        <v>156</v>
      </c>
      <c r="AK60" s="165">
        <f t="shared" si="112"/>
        <v>63.069780000743719</v>
      </c>
      <c r="AL60" s="158">
        <f t="shared" si="105"/>
        <v>378.41868000446232</v>
      </c>
      <c r="AM60" s="138">
        <f t="shared" si="113"/>
        <v>23866.782896053275</v>
      </c>
      <c r="AN60" s="62"/>
    </row>
    <row r="61" spans="1:40">
      <c r="A61" s="52" t="s">
        <v>38</v>
      </c>
      <c r="B61" s="52" t="s">
        <v>19</v>
      </c>
      <c r="C61" s="52">
        <v>10</v>
      </c>
      <c r="D61" s="53">
        <v>1968</v>
      </c>
      <c r="E61" s="53">
        <v>43</v>
      </c>
      <c r="F61" s="55">
        <f t="shared" si="114"/>
        <v>15.932446264073693</v>
      </c>
      <c r="G61" s="55">
        <f t="shared" si="96"/>
        <v>2.6988950276243098</v>
      </c>
      <c r="H61" s="69">
        <f t="shared" si="106"/>
        <v>5.18947622495776E-3</v>
      </c>
      <c r="I61" s="69">
        <f t="shared" si="97"/>
        <v>0.37052200614124869</v>
      </c>
      <c r="J61" s="69">
        <f t="shared" si="98"/>
        <v>1.9228151416936633E-2</v>
      </c>
      <c r="K61" s="71">
        <f t="shared" si="99"/>
        <v>52.007079532314016</v>
      </c>
      <c r="L61" s="62">
        <f t="shared" si="100"/>
        <v>828.59999999999991</v>
      </c>
      <c r="M61" s="72">
        <v>7</v>
      </c>
      <c r="N61" s="72"/>
      <c r="O61" s="72">
        <f t="shared" si="7"/>
        <v>7</v>
      </c>
      <c r="P61" s="62">
        <v>2</v>
      </c>
      <c r="Q61" s="62">
        <v>6</v>
      </c>
      <c r="R61" s="62">
        <v>0</v>
      </c>
      <c r="S61" s="62">
        <v>0</v>
      </c>
      <c r="T61" s="62">
        <f t="shared" si="8"/>
        <v>6</v>
      </c>
      <c r="U61" s="62">
        <v>29</v>
      </c>
      <c r="V61" s="71">
        <f t="shared" si="9"/>
        <v>0.6</v>
      </c>
      <c r="W61" s="75">
        <f t="shared" si="10"/>
        <v>2.9333333333333331</v>
      </c>
      <c r="X61" s="69">
        <f t="shared" si="101"/>
        <v>152.55409996145443</v>
      </c>
      <c r="Y61" s="114">
        <f t="shared" si="107"/>
        <v>1067.8786997301809</v>
      </c>
      <c r="Z61" s="72">
        <f t="shared" si="108"/>
        <v>209.70245395211265</v>
      </c>
      <c r="AA61" s="114">
        <f t="shared" si="77"/>
        <v>1467.9171776647886</v>
      </c>
      <c r="AB61" s="120">
        <f t="shared" si="78"/>
        <v>0.77777777777777779</v>
      </c>
      <c r="AC61" s="114">
        <f t="shared" si="115"/>
        <v>40.449950747355345</v>
      </c>
      <c r="AD61" s="114">
        <f t="shared" si="109"/>
        <v>283.14965523148743</v>
      </c>
      <c r="AE61" s="72">
        <f t="shared" si="110"/>
        <v>187.16750719976346</v>
      </c>
      <c r="AF61" s="72">
        <f t="shared" si="81"/>
        <v>1310.1725503983444</v>
      </c>
      <c r="AG61" s="117">
        <f t="shared" si="111"/>
        <v>245221.73025961453</v>
      </c>
      <c r="AH61" s="62"/>
      <c r="AI61" s="141">
        <v>26</v>
      </c>
      <c r="AJ61" s="117">
        <f t="shared" si="104"/>
        <v>182</v>
      </c>
      <c r="AK61" s="165">
        <f t="shared" si="112"/>
        <v>63.069780000743719</v>
      </c>
      <c r="AL61" s="158">
        <f t="shared" si="105"/>
        <v>441.48846000520604</v>
      </c>
      <c r="AM61" s="138">
        <f t="shared" si="113"/>
        <v>27844.580045395487</v>
      </c>
      <c r="AN61" s="62"/>
    </row>
    <row r="62" spans="1:40">
      <c r="A62" s="52" t="s">
        <v>38</v>
      </c>
      <c r="B62" s="52" t="s">
        <v>20</v>
      </c>
      <c r="C62" s="52">
        <v>17</v>
      </c>
      <c r="D62" s="53">
        <v>1963</v>
      </c>
      <c r="E62" s="53">
        <v>59</v>
      </c>
      <c r="F62" s="55">
        <f t="shared" si="114"/>
        <v>21.860798362333675</v>
      </c>
      <c r="G62" s="55">
        <f t="shared" si="96"/>
        <v>2.6988950276243093</v>
      </c>
      <c r="H62" s="69">
        <f t="shared" si="106"/>
        <v>7.1204441226164613E-3</v>
      </c>
      <c r="I62" s="69">
        <f t="shared" si="97"/>
        <v>0.37052200614124875</v>
      </c>
      <c r="J62" s="69">
        <f t="shared" si="98"/>
        <v>2.6382812409285149E-2</v>
      </c>
      <c r="K62" s="71">
        <f t="shared" si="99"/>
        <v>37.903464743889877</v>
      </c>
      <c r="L62" s="62">
        <f t="shared" si="100"/>
        <v>828.6</v>
      </c>
      <c r="M62" s="72">
        <v>4</v>
      </c>
      <c r="N62" s="72"/>
      <c r="O62" s="72">
        <f t="shared" si="7"/>
        <v>4</v>
      </c>
      <c r="P62" s="62">
        <v>6</v>
      </c>
      <c r="Q62" s="62">
        <v>11</v>
      </c>
      <c r="R62" s="62">
        <v>8</v>
      </c>
      <c r="S62" s="62">
        <v>4</v>
      </c>
      <c r="T62" s="62">
        <f t="shared" si="8"/>
        <v>23</v>
      </c>
      <c r="U62" s="62">
        <v>33</v>
      </c>
      <c r="V62" s="71">
        <f t="shared" si="9"/>
        <v>0.30303030303030304</v>
      </c>
      <c r="W62" s="75">
        <f t="shared" si="10"/>
        <v>2</v>
      </c>
      <c r="X62" s="69">
        <f t="shared" si="101"/>
        <v>75.806929487779755</v>
      </c>
      <c r="Y62" s="114">
        <f t="shared" si="107"/>
        <v>303.22771795111902</v>
      </c>
      <c r="Z62" s="72">
        <f t="shared" si="108"/>
        <v>104.20499445232102</v>
      </c>
      <c r="AA62" s="114">
        <f t="shared" si="77"/>
        <v>416.81997780928407</v>
      </c>
      <c r="AB62" s="120">
        <f t="shared" si="78"/>
        <v>0.39999999999999991</v>
      </c>
      <c r="AC62" s="114">
        <f t="shared" si="115"/>
        <v>15.161385897555947</v>
      </c>
      <c r="AD62" s="114">
        <f t="shared" si="109"/>
        <v>60.645543590223788</v>
      </c>
      <c r="AE62" s="72">
        <f t="shared" si="110"/>
        <v>70.15382594315588</v>
      </c>
      <c r="AF62" s="72">
        <f t="shared" si="81"/>
        <v>280.61530377262352</v>
      </c>
      <c r="AG62" s="117">
        <f t="shared" si="111"/>
        <v>19686.237177850446</v>
      </c>
      <c r="AH62" s="62"/>
      <c r="AI62" s="141">
        <v>26</v>
      </c>
      <c r="AJ62" s="117">
        <f t="shared" si="104"/>
        <v>104</v>
      </c>
      <c r="AK62" s="165">
        <f t="shared" si="112"/>
        <v>63.069780000743719</v>
      </c>
      <c r="AL62" s="158">
        <f t="shared" si="105"/>
        <v>252.27912000297488</v>
      </c>
      <c r="AM62" s="138">
        <f t="shared" si="113"/>
        <v>15911.18859736885</v>
      </c>
      <c r="AN62" s="62"/>
    </row>
    <row r="63" spans="1:40">
      <c r="A63" s="52" t="s">
        <v>38</v>
      </c>
      <c r="B63" s="52" t="s">
        <v>23</v>
      </c>
      <c r="C63" s="52">
        <v>8</v>
      </c>
      <c r="D63" s="53">
        <v>1927</v>
      </c>
      <c r="E63" s="53">
        <v>63</v>
      </c>
      <c r="F63" s="55">
        <f t="shared" si="114"/>
        <v>23.34288638689867</v>
      </c>
      <c r="G63" s="55">
        <f t="shared" si="96"/>
        <v>2.6988950276243093</v>
      </c>
      <c r="H63" s="69">
        <f t="shared" si="106"/>
        <v>7.6031860970311371E-3</v>
      </c>
      <c r="I63" s="69">
        <f t="shared" si="97"/>
        <v>0.37052200614124875</v>
      </c>
      <c r="J63" s="69">
        <f t="shared" si="98"/>
        <v>2.8171477657372278E-2</v>
      </c>
      <c r="K63" s="71">
        <f t="shared" si="99"/>
        <v>35.496895553801629</v>
      </c>
      <c r="L63" s="62">
        <f t="shared" si="100"/>
        <v>828.59999999999991</v>
      </c>
      <c r="M63" s="72">
        <v>6</v>
      </c>
      <c r="N63" s="72"/>
      <c r="O63" s="72">
        <f t="shared" si="7"/>
        <v>6</v>
      </c>
      <c r="P63" s="62">
        <v>4</v>
      </c>
      <c r="Q63" s="62">
        <v>28</v>
      </c>
      <c r="R63" s="62">
        <v>8</v>
      </c>
      <c r="S63" s="62">
        <v>3</v>
      </c>
      <c r="T63" s="62">
        <f t="shared" si="8"/>
        <v>39</v>
      </c>
      <c r="U63" s="62">
        <v>43</v>
      </c>
      <c r="V63" s="71">
        <f t="shared" si="9"/>
        <v>0.20408163265306123</v>
      </c>
      <c r="W63" s="75">
        <f t="shared" si="10"/>
        <v>1.8775510204081634</v>
      </c>
      <c r="X63" s="69">
        <f t="shared" si="101"/>
        <v>66.647232468362247</v>
      </c>
      <c r="Y63" s="114">
        <f t="shared" si="107"/>
        <v>399.88339481017351</v>
      </c>
      <c r="Z63" s="72">
        <f t="shared" si="108"/>
        <v>91.613979573566326</v>
      </c>
      <c r="AA63" s="114">
        <f t="shared" si="77"/>
        <v>549.68387744139795</v>
      </c>
      <c r="AB63" s="120">
        <f t="shared" si="78"/>
        <v>0.6</v>
      </c>
      <c r="AC63" s="114">
        <f t="shared" si="115"/>
        <v>21.298137332280977</v>
      </c>
      <c r="AD63" s="114">
        <f t="shared" si="109"/>
        <v>127.78882399368587</v>
      </c>
      <c r="AE63" s="72">
        <f t="shared" si="110"/>
        <v>98.549422158242791</v>
      </c>
      <c r="AF63" s="72">
        <f t="shared" si="81"/>
        <v>591.29653294945672</v>
      </c>
      <c r="AG63" s="117">
        <f t="shared" si="111"/>
        <v>58271.931646341327</v>
      </c>
      <c r="AH63" s="62"/>
      <c r="AI63" s="141">
        <v>26</v>
      </c>
      <c r="AJ63" s="117">
        <f t="shared" si="104"/>
        <v>156</v>
      </c>
      <c r="AK63" s="165">
        <f t="shared" si="112"/>
        <v>63.069780000743719</v>
      </c>
      <c r="AL63" s="158">
        <f t="shared" si="105"/>
        <v>378.41868000446232</v>
      </c>
      <c r="AM63" s="138">
        <f t="shared" si="113"/>
        <v>23866.782896053275</v>
      </c>
      <c r="AN63" s="62"/>
    </row>
    <row r="64" spans="1:40">
      <c r="A64" s="52" t="s">
        <v>38</v>
      </c>
      <c r="B64" s="52" t="s">
        <v>24</v>
      </c>
      <c r="C64" s="52">
        <v>12</v>
      </c>
      <c r="D64" s="53">
        <v>1982</v>
      </c>
      <c r="E64" s="53">
        <v>101</v>
      </c>
      <c r="F64" s="55">
        <f t="shared" si="114"/>
        <v>37.422722620266121</v>
      </c>
      <c r="G64" s="55">
        <f t="shared" si="96"/>
        <v>2.6988950276243093</v>
      </c>
      <c r="H64" s="69">
        <f t="shared" si="106"/>
        <v>1.2189234853970552E-2</v>
      </c>
      <c r="I64" s="69">
        <f t="shared" si="97"/>
        <v>0.37052200614124875</v>
      </c>
      <c r="J64" s="69">
        <f t="shared" si="98"/>
        <v>4.5163797514200001E-2</v>
      </c>
      <c r="K64" s="71">
        <f t="shared" si="99"/>
        <v>22.141627919698049</v>
      </c>
      <c r="L64" s="62">
        <f t="shared" si="100"/>
        <v>828.60000000000014</v>
      </c>
      <c r="M64" s="72">
        <v>20</v>
      </c>
      <c r="N64" s="72"/>
      <c r="O64" s="72">
        <f t="shared" si="7"/>
        <v>20</v>
      </c>
      <c r="P64" s="62">
        <v>8</v>
      </c>
      <c r="Q64" s="62">
        <v>15</v>
      </c>
      <c r="R64" s="62">
        <v>6</v>
      </c>
      <c r="S64" s="62">
        <v>0</v>
      </c>
      <c r="T64" s="62">
        <f t="shared" si="8"/>
        <v>21</v>
      </c>
      <c r="U64" s="62">
        <v>41</v>
      </c>
      <c r="V64" s="71">
        <f t="shared" si="9"/>
        <v>0.5714285714285714</v>
      </c>
      <c r="W64" s="75">
        <f t="shared" si="10"/>
        <v>1.8367346938775511</v>
      </c>
      <c r="X64" s="69">
        <f t="shared" si="101"/>
        <v>40.668296179037235</v>
      </c>
      <c r="Y64" s="114">
        <f t="shared" si="107"/>
        <v>813.36592358074472</v>
      </c>
      <c r="Z64" s="72">
        <f t="shared" si="108"/>
        <v>55.903063299840845</v>
      </c>
      <c r="AA64" s="114">
        <f t="shared" si="77"/>
        <v>1118.0612659968169</v>
      </c>
      <c r="AB64" s="120">
        <f t="shared" si="78"/>
        <v>0.7142857142857143</v>
      </c>
      <c r="AC64" s="114">
        <f t="shared" si="115"/>
        <v>15.815448514070034</v>
      </c>
      <c r="AD64" s="114">
        <f t="shared" si="109"/>
        <v>316.30897028140066</v>
      </c>
      <c r="AE64" s="72">
        <f t="shared" si="110"/>
        <v>73.18026397889318</v>
      </c>
      <c r="AF64" s="72">
        <f t="shared" si="81"/>
        <v>1463.6052795778637</v>
      </c>
      <c r="AG64" s="117">
        <f t="shared" si="111"/>
        <v>107107.02072040981</v>
      </c>
      <c r="AH64" s="62"/>
      <c r="AI64" s="141">
        <v>26</v>
      </c>
      <c r="AJ64" s="117">
        <f t="shared" si="104"/>
        <v>520</v>
      </c>
      <c r="AK64" s="165">
        <f t="shared" si="112"/>
        <v>63.069780000743719</v>
      </c>
      <c r="AL64" s="158">
        <f t="shared" si="105"/>
        <v>1261.3956000148744</v>
      </c>
      <c r="AM64" s="138">
        <f t="shared" si="113"/>
        <v>79555.942986844253</v>
      </c>
      <c r="AN64" s="62"/>
    </row>
    <row r="65" spans="1:40">
      <c r="A65" s="52" t="s">
        <v>38</v>
      </c>
      <c r="B65" s="52" t="s">
        <v>25</v>
      </c>
      <c r="C65" s="52">
        <v>11</v>
      </c>
      <c r="D65" s="53" t="s">
        <v>40</v>
      </c>
      <c r="E65" s="53">
        <v>200</v>
      </c>
      <c r="F65" s="55">
        <f t="shared" si="114"/>
        <v>74.104401228249742</v>
      </c>
      <c r="G65" s="55">
        <f t="shared" si="96"/>
        <v>2.6988950276243093</v>
      </c>
      <c r="H65" s="69">
        <f t="shared" si="106"/>
        <v>2.4137098720733767E-2</v>
      </c>
      <c r="I65" s="69">
        <f t="shared" si="97"/>
        <v>0.37052200614124869</v>
      </c>
      <c r="J65" s="69">
        <f t="shared" si="98"/>
        <v>8.9433262404356423E-2</v>
      </c>
      <c r="K65" s="71">
        <f t="shared" si="99"/>
        <v>11.181522099447516</v>
      </c>
      <c r="L65" s="62">
        <f t="shared" si="100"/>
        <v>828.60000000000014</v>
      </c>
      <c r="M65" s="72">
        <v>38</v>
      </c>
      <c r="N65" s="72"/>
      <c r="O65" s="72">
        <f t="shared" si="7"/>
        <v>38</v>
      </c>
      <c r="P65" s="62">
        <v>16</v>
      </c>
      <c r="Q65" s="62">
        <v>77</v>
      </c>
      <c r="R65" s="62">
        <v>5</v>
      </c>
      <c r="S65" s="62">
        <v>7</v>
      </c>
      <c r="T65" s="62">
        <f t="shared" si="8"/>
        <v>89</v>
      </c>
      <c r="U65" s="62">
        <v>97</v>
      </c>
      <c r="V65" s="71">
        <f t="shared" si="9"/>
        <v>0.3776223776223776</v>
      </c>
      <c r="W65" s="75">
        <f t="shared" si="10"/>
        <v>1.6783216783216783</v>
      </c>
      <c r="X65" s="69">
        <f t="shared" si="101"/>
        <v>18.766190936135693</v>
      </c>
      <c r="Y65" s="114">
        <f t="shared" si="107"/>
        <v>713.11525557315633</v>
      </c>
      <c r="Z65" s="72">
        <f t="shared" si="108"/>
        <v>25.796201423861294</v>
      </c>
      <c r="AA65" s="114">
        <f t="shared" si="77"/>
        <v>980.25565410672914</v>
      </c>
      <c r="AB65" s="120">
        <f t="shared" si="78"/>
        <v>0.70370370370370361</v>
      </c>
      <c r="AC65" s="114">
        <f t="shared" si="115"/>
        <v>7.8684785144260285</v>
      </c>
      <c r="AD65" s="114">
        <f t="shared" si="109"/>
        <v>299.00218354818907</v>
      </c>
      <c r="AE65" s="72">
        <f t="shared" si="110"/>
        <v>36.40853651957304</v>
      </c>
      <c r="AF65" s="72">
        <f t="shared" si="81"/>
        <v>1383.5243877437756</v>
      </c>
      <c r="AG65" s="117">
        <f t="shared" si="111"/>
        <v>50372.098196889179</v>
      </c>
      <c r="AH65" s="62"/>
      <c r="AI65" s="141">
        <v>26</v>
      </c>
      <c r="AJ65" s="117">
        <f t="shared" si="104"/>
        <v>988</v>
      </c>
      <c r="AK65" s="165">
        <f t="shared" si="112"/>
        <v>63.069780000743719</v>
      </c>
      <c r="AL65" s="158">
        <f t="shared" si="105"/>
        <v>2396.6516400282612</v>
      </c>
      <c r="AM65" s="138">
        <f t="shared" si="113"/>
        <v>151156.29167500406</v>
      </c>
      <c r="AN65" s="62"/>
    </row>
    <row r="66" spans="1:40">
      <c r="A66" s="53" t="s">
        <v>38</v>
      </c>
      <c r="B66" s="53" t="s">
        <v>119</v>
      </c>
      <c r="C66" s="53">
        <v>9</v>
      </c>
      <c r="D66" s="53">
        <v>1982</v>
      </c>
      <c r="E66" s="53">
        <v>160</v>
      </c>
      <c r="F66" s="55">
        <f t="shared" si="114"/>
        <v>59.283520982599796</v>
      </c>
      <c r="G66" s="55">
        <f t="shared" si="96"/>
        <v>2.6988950276243093</v>
      </c>
      <c r="H66" s="69">
        <f t="shared" si="106"/>
        <v>1.9309678976587013E-2</v>
      </c>
      <c r="I66" s="69">
        <f t="shared" si="97"/>
        <v>0.37052200614124875</v>
      </c>
      <c r="J66" s="69">
        <f t="shared" si="98"/>
        <v>7.1546609923485147E-2</v>
      </c>
      <c r="K66" s="71">
        <f t="shared" si="99"/>
        <v>13.976902624309393</v>
      </c>
      <c r="L66" s="62">
        <f t="shared" si="100"/>
        <v>828.6</v>
      </c>
      <c r="M66" s="72">
        <v>26</v>
      </c>
      <c r="N66" s="72"/>
      <c r="O66" s="72">
        <f t="shared" si="7"/>
        <v>26</v>
      </c>
      <c r="P66" s="62">
        <v>12</v>
      </c>
      <c r="Q66" s="62">
        <v>20</v>
      </c>
      <c r="R66" s="62">
        <v>6</v>
      </c>
      <c r="S66" s="62">
        <v>2</v>
      </c>
      <c r="T66" s="62">
        <f t="shared" si="8"/>
        <v>28</v>
      </c>
      <c r="U66" s="62">
        <v>71</v>
      </c>
      <c r="V66" s="71">
        <f t="shared" si="9"/>
        <v>0.5757575757575758</v>
      </c>
      <c r="W66" s="75">
        <f t="shared" si="10"/>
        <v>2.0757575757575757</v>
      </c>
      <c r="X66" s="69">
        <f t="shared" si="101"/>
        <v>29.012661508036164</v>
      </c>
      <c r="Y66" s="114">
        <f t="shared" si="107"/>
        <v>754.32919920894028</v>
      </c>
      <c r="Z66" s="72">
        <f t="shared" si="108"/>
        <v>39.881106541577218</v>
      </c>
      <c r="AA66" s="114">
        <f t="shared" si="77"/>
        <v>1036.9087700810076</v>
      </c>
      <c r="AB66" s="120">
        <f t="shared" si="78"/>
        <v>0.68421052631578949</v>
      </c>
      <c r="AC66" s="114">
        <f t="shared" si="115"/>
        <v>9.5631439008432686</v>
      </c>
      <c r="AD66" s="114">
        <f t="shared" si="109"/>
        <v>248.64174142192499</v>
      </c>
      <c r="AE66" s="72">
        <f t="shared" si="110"/>
        <v>44.249987251974154</v>
      </c>
      <c r="AF66" s="72">
        <f t="shared" si="81"/>
        <v>1150.4996685513281</v>
      </c>
      <c r="AG66" s="117">
        <f t="shared" si="111"/>
        <v>50909.595666796755</v>
      </c>
      <c r="AH66" s="62"/>
      <c r="AI66" s="141">
        <v>26</v>
      </c>
      <c r="AJ66" s="117">
        <f t="shared" si="104"/>
        <v>676</v>
      </c>
      <c r="AK66" s="165">
        <f t="shared" si="112"/>
        <v>63.069780000743719</v>
      </c>
      <c r="AL66" s="158">
        <f t="shared" si="105"/>
        <v>1639.8142800193368</v>
      </c>
      <c r="AM66" s="138">
        <f t="shared" si="113"/>
        <v>103422.72588289752</v>
      </c>
      <c r="AN66" s="62"/>
    </row>
    <row r="67" spans="1:40" s="61" customFormat="1">
      <c r="A67" s="57" t="s">
        <v>38</v>
      </c>
      <c r="B67" s="57" t="s">
        <v>135</v>
      </c>
      <c r="C67" s="57">
        <v>13</v>
      </c>
      <c r="D67" s="53">
        <v>1968</v>
      </c>
      <c r="E67" s="53">
        <v>252</v>
      </c>
      <c r="F67" s="55">
        <f>362*(E67/E$68)</f>
        <v>93.371545547594678</v>
      </c>
      <c r="G67" s="55">
        <f t="shared" si="96"/>
        <v>2.6988950276243093</v>
      </c>
      <c r="H67" s="69">
        <f t="shared" si="106"/>
        <v>3.0412744388124548E-2</v>
      </c>
      <c r="I67" s="82">
        <f t="shared" si="97"/>
        <v>0.37052200614124875</v>
      </c>
      <c r="J67" s="69">
        <f t="shared" si="98"/>
        <v>0.11268591062948911</v>
      </c>
      <c r="K67" s="71">
        <f t="shared" si="99"/>
        <v>8.8742238884504072</v>
      </c>
      <c r="L67" s="84">
        <f t="shared" si="100"/>
        <v>828.59999999999991</v>
      </c>
      <c r="M67" s="85">
        <v>20</v>
      </c>
      <c r="N67" s="85"/>
      <c r="O67" s="85">
        <f t="shared" si="7"/>
        <v>20</v>
      </c>
      <c r="P67" s="84">
        <v>11</v>
      </c>
      <c r="Q67" s="84">
        <v>48</v>
      </c>
      <c r="R67" s="84">
        <v>4</v>
      </c>
      <c r="S67" s="84">
        <v>0</v>
      </c>
      <c r="T67" s="84">
        <f t="shared" si="8"/>
        <v>52</v>
      </c>
      <c r="U67" s="84">
        <v>191</v>
      </c>
      <c r="V67" s="83">
        <f t="shared" si="9"/>
        <v>0.37349397590361444</v>
      </c>
      <c r="W67" s="86">
        <f t="shared" si="10"/>
        <v>3.3012048192771082</v>
      </c>
      <c r="X67" s="82">
        <f t="shared" si="101"/>
        <v>29.295630667896521</v>
      </c>
      <c r="Y67" s="118">
        <f t="shared" si="107"/>
        <v>585.91261335793047</v>
      </c>
      <c r="Z67" s="72">
        <f t="shared" si="108"/>
        <v>40.270078894535793</v>
      </c>
      <c r="AA67" s="114">
        <f t="shared" si="77"/>
        <v>805.40157789071588</v>
      </c>
      <c r="AB67" s="120">
        <f t="shared" si="78"/>
        <v>0.64516129032258063</v>
      </c>
      <c r="AC67" s="114">
        <f t="shared" si="115"/>
        <v>5.7253057344841336</v>
      </c>
      <c r="AD67" s="114">
        <f t="shared" si="109"/>
        <v>114.50611468968268</v>
      </c>
      <c r="AE67" s="72">
        <f t="shared" si="110"/>
        <v>26.491780150065267</v>
      </c>
      <c r="AF67" s="72">
        <f t="shared" si="81"/>
        <v>529.83560300130534</v>
      </c>
      <c r="AG67" s="117">
        <f t="shared" si="111"/>
        <v>14036.288310387843</v>
      </c>
      <c r="AH67" s="84"/>
      <c r="AI67" s="141">
        <v>26.491780150065267</v>
      </c>
      <c r="AJ67" s="117">
        <f t="shared" si="104"/>
        <v>529.83560300130534</v>
      </c>
      <c r="AK67" s="165">
        <f>AI67*(AF$68/AJ$68)</f>
        <v>64.262720995872527</v>
      </c>
      <c r="AL67" s="158">
        <f t="shared" si="105"/>
        <v>1285.2544199174506</v>
      </c>
      <c r="AM67" s="138">
        <f t="shared" si="113"/>
        <v>82593.946195867116</v>
      </c>
      <c r="AN67" s="84"/>
    </row>
    <row r="68" spans="1:40" s="61" customFormat="1">
      <c r="A68" s="88"/>
      <c r="B68" s="88"/>
      <c r="C68" s="88"/>
      <c r="D68" s="88"/>
      <c r="E68" s="88">
        <f>SUM(E58:E67)</f>
        <v>977</v>
      </c>
      <c r="F68" s="89">
        <f>SUM(F58:F67)</f>
        <v>362</v>
      </c>
      <c r="G68" s="89"/>
      <c r="H68" s="91"/>
      <c r="I68" s="91"/>
      <c r="J68" s="91"/>
      <c r="K68" s="91"/>
      <c r="L68" s="94">
        <f>SUM(L58:L67)</f>
        <v>8286.0000000000018</v>
      </c>
      <c r="M68" s="94">
        <f>SUM(M58:M67)</f>
        <v>131</v>
      </c>
      <c r="N68" s="94">
        <f>SUM(N58:N67)</f>
        <v>0</v>
      </c>
      <c r="O68" s="94">
        <f>SUM(O58:O67)</f>
        <v>131</v>
      </c>
      <c r="P68" s="93"/>
      <c r="Q68" s="93"/>
      <c r="R68" s="93"/>
      <c r="S68" s="93"/>
      <c r="T68" s="93"/>
      <c r="U68" s="93"/>
      <c r="V68" s="92"/>
      <c r="W68" s="95"/>
      <c r="X68" s="94"/>
      <c r="Y68" s="115">
        <f>SUM(Y58:Y67)</f>
        <v>6027.8897478675735</v>
      </c>
      <c r="Z68" s="115"/>
      <c r="AA68" s="115">
        <f>SUM(AA58:AA67)</f>
        <v>8286.0000000000036</v>
      </c>
      <c r="AB68" s="115"/>
      <c r="AC68" s="115"/>
      <c r="AD68" s="115">
        <f>SUM(AD58:AD67)</f>
        <v>1790.7397331250568</v>
      </c>
      <c r="AE68" s="115"/>
      <c r="AF68" s="115">
        <f>SUM(AF58:AF67)</f>
        <v>8286.0000000000036</v>
      </c>
      <c r="AG68" s="115">
        <f>SUM(AG58:AG67)</f>
        <v>831197.97216430935</v>
      </c>
      <c r="AH68" s="119"/>
      <c r="AI68" s="142"/>
      <c r="AJ68" s="151">
        <f>SUM(AJ58:AJ67)</f>
        <v>3415.8356030013056</v>
      </c>
      <c r="AK68" s="168"/>
      <c r="AL68" s="131">
        <f>SUM(AL58:AL67)</f>
        <v>8286.0000000000018</v>
      </c>
      <c r="AM68" s="93">
        <f>SUM(AM58:AM67)</f>
        <v>524129.42977285269</v>
      </c>
      <c r="AN68" s="119"/>
    </row>
    <row r="69" spans="1:40">
      <c r="A69" s="52" t="s">
        <v>37</v>
      </c>
      <c r="B69" s="52" t="s">
        <v>17</v>
      </c>
      <c r="C69" s="52">
        <v>36</v>
      </c>
      <c r="D69" s="53">
        <v>1985</v>
      </c>
      <c r="E69" s="53">
        <v>72</v>
      </c>
      <c r="F69" s="55">
        <f>350*(E69/(SUM(E$69:E$75)))</f>
        <v>18.038654259126702</v>
      </c>
      <c r="G69" s="55">
        <f t="shared" si="96"/>
        <v>3.9914285714285711</v>
      </c>
      <c r="H69" s="69">
        <f>E69/F$7</f>
        <v>1.8547140649149921E-2</v>
      </c>
      <c r="I69" s="69">
        <f t="shared" ref="I69:I75" si="116">F69/E69</f>
        <v>0.25053686471009307</v>
      </c>
      <c r="J69" s="69">
        <f t="shared" ref="J69:J75" si="117">$H$7*I69*H69</f>
        <v>3.2527197273025991E-2</v>
      </c>
      <c r="K69" s="71">
        <f>1/J69</f>
        <v>30.743503401360545</v>
      </c>
      <c r="L69" s="85">
        <f t="shared" ref="L69:L75" si="118">F69*K69</f>
        <v>554.57142857142867</v>
      </c>
      <c r="M69" s="72">
        <v>13</v>
      </c>
      <c r="N69" s="72">
        <v>1</v>
      </c>
      <c r="O69" s="72">
        <f t="shared" si="7"/>
        <v>14</v>
      </c>
      <c r="P69" s="62">
        <v>10</v>
      </c>
      <c r="Q69" s="62">
        <v>23</v>
      </c>
      <c r="R69" s="62">
        <v>0</v>
      </c>
      <c r="S69" s="62">
        <v>1</v>
      </c>
      <c r="T69" s="62">
        <f t="shared" si="8"/>
        <v>24</v>
      </c>
      <c r="U69" s="62">
        <v>16</v>
      </c>
      <c r="V69" s="71">
        <f t="shared" si="9"/>
        <v>0.5</v>
      </c>
      <c r="W69" s="75">
        <f t="shared" si="10"/>
        <v>1.3333333333333333</v>
      </c>
      <c r="X69" s="72">
        <f t="shared" ref="X69:X75" si="119">K69*W69</f>
        <v>40.991337868480727</v>
      </c>
      <c r="Y69" s="114">
        <f>X69*O69</f>
        <v>573.87873015873015</v>
      </c>
      <c r="Z69" s="72">
        <f>X69*(L$76/Y$76)</f>
        <v>44.58295898095124</v>
      </c>
      <c r="AA69" s="114">
        <f t="shared" si="77"/>
        <v>624.1614257333174</v>
      </c>
      <c r="AB69" s="120">
        <f t="shared" si="78"/>
        <v>0.58333333333333337</v>
      </c>
      <c r="AC69" s="114">
        <f t="shared" ref="AC69" si="120">K69*AB69</f>
        <v>17.933710317460321</v>
      </c>
      <c r="AD69" s="114">
        <f t="shared" ref="AD69" si="121">O69*AC69</f>
        <v>251.07194444444448</v>
      </c>
      <c r="AE69" s="72">
        <f>AC69*(AA$76/AD$76)</f>
        <v>32.074457569086931</v>
      </c>
      <c r="AF69" s="72">
        <f t="shared" si="81"/>
        <v>449.04240596721706</v>
      </c>
      <c r="AG69" s="117">
        <f>(AE69^2)*O69</f>
        <v>14402.79159691621</v>
      </c>
      <c r="AH69" s="71">
        <f>$O$76*(AG76/(AF76^2))</f>
        <v>1.6969196305448764</v>
      </c>
      <c r="AI69" s="141">
        <v>5</v>
      </c>
      <c r="AJ69" s="152">
        <f t="shared" ref="AJ69:AJ75" si="122">O69*AI69</f>
        <v>70</v>
      </c>
      <c r="AK69" s="165">
        <f t="shared" si="112"/>
        <v>12.128803846296869</v>
      </c>
      <c r="AL69" s="158">
        <f t="shared" ref="AL69:AL75" si="123">O69*AK69</f>
        <v>169.80325384815615</v>
      </c>
      <c r="AM69" s="138">
        <f>(AK69^2)*O69</f>
        <v>2059.5103583872396</v>
      </c>
      <c r="AN69" s="71">
        <f>$O$76*(AM76/(AL76^2))</f>
        <v>1.0000108396280627</v>
      </c>
    </row>
    <row r="70" spans="1:40">
      <c r="A70" s="52" t="s">
        <v>37</v>
      </c>
      <c r="B70" s="52" t="s">
        <v>16</v>
      </c>
      <c r="C70" s="52">
        <v>33</v>
      </c>
      <c r="D70" s="53">
        <v>1985</v>
      </c>
      <c r="E70" s="53">
        <v>84</v>
      </c>
      <c r="F70" s="55">
        <f t="shared" ref="F70:F75" si="124">350*(E70/(SUM(E$69:E$75)))</f>
        <v>21.045096635647816</v>
      </c>
      <c r="G70" s="55">
        <f t="shared" si="96"/>
        <v>3.9914285714285715</v>
      </c>
      <c r="H70" s="69">
        <f t="shared" ref="H70:H75" si="125">E70/F$7</f>
        <v>2.1638330757341576E-2</v>
      </c>
      <c r="I70" s="69">
        <f t="shared" si="116"/>
        <v>0.25053686471009307</v>
      </c>
      <c r="J70" s="69">
        <f t="shared" si="117"/>
        <v>3.7948396818530322E-2</v>
      </c>
      <c r="K70" s="71">
        <f t="shared" ref="K70:K75" si="126">1/J70</f>
        <v>26.351574344023327</v>
      </c>
      <c r="L70" s="85">
        <f t="shared" si="118"/>
        <v>554.57142857142867</v>
      </c>
      <c r="M70" s="72">
        <v>16</v>
      </c>
      <c r="N70" s="72">
        <v>1</v>
      </c>
      <c r="O70" s="72">
        <f t="shared" si="7"/>
        <v>17</v>
      </c>
      <c r="P70" s="62">
        <v>0</v>
      </c>
      <c r="Q70" s="62">
        <v>11</v>
      </c>
      <c r="R70" s="62">
        <v>3</v>
      </c>
      <c r="S70" s="62">
        <v>1</v>
      </c>
      <c r="T70" s="62">
        <f t="shared" si="8"/>
        <v>15</v>
      </c>
      <c r="U70" s="62">
        <v>20</v>
      </c>
      <c r="V70" s="71">
        <f t="shared" si="9"/>
        <v>0.53125</v>
      </c>
      <c r="W70" s="75">
        <f t="shared" si="10"/>
        <v>1.625</v>
      </c>
      <c r="X70" s="72">
        <f t="shared" si="119"/>
        <v>42.821308309037903</v>
      </c>
      <c r="Y70" s="114">
        <f t="shared" ref="Y70:Y75" si="127">X70*O70</f>
        <v>727.96224125364438</v>
      </c>
      <c r="Z70" s="72">
        <f t="shared" ref="Z70:Z75" si="128">X70*(L$76/Y$76)</f>
        <v>46.5732696497437</v>
      </c>
      <c r="AA70" s="114">
        <f t="shared" si="77"/>
        <v>791.74558404564289</v>
      </c>
      <c r="AB70" s="120">
        <f t="shared" si="78"/>
        <v>1</v>
      </c>
      <c r="AC70" s="114">
        <f t="shared" ref="AC70:AC75" si="129">K70*AB70</f>
        <v>26.351574344023327</v>
      </c>
      <c r="AD70" s="114">
        <f t="shared" ref="AD70:AD75" si="130">O70*AC70</f>
        <v>447.97676384839656</v>
      </c>
      <c r="AE70" s="72">
        <f t="shared" ref="AE70:AE75" si="131">AC70*(AA$76/AD$76)</f>
        <v>47.129815203556305</v>
      </c>
      <c r="AF70" s="72">
        <f t="shared" si="81"/>
        <v>801.20685846045717</v>
      </c>
      <c r="AG70" s="117">
        <f t="shared" ref="AG70:AG75" si="132">(AE70^2)*O70</f>
        <v>37760.731179063245</v>
      </c>
      <c r="AH70" s="62"/>
      <c r="AI70" s="141">
        <v>5</v>
      </c>
      <c r="AJ70" s="152">
        <f t="shared" si="122"/>
        <v>85</v>
      </c>
      <c r="AK70" s="165">
        <f t="shared" si="112"/>
        <v>12.128803846296869</v>
      </c>
      <c r="AL70" s="158">
        <f t="shared" si="123"/>
        <v>206.18966538704677</v>
      </c>
      <c r="AM70" s="138">
        <f t="shared" ref="AM70:AM75" si="133">(AK70^2)*O70</f>
        <v>2500.8340066130768</v>
      </c>
      <c r="AN70" s="62"/>
    </row>
    <row r="71" spans="1:40">
      <c r="A71" s="52" t="s">
        <v>37</v>
      </c>
      <c r="B71" s="52" t="s">
        <v>15</v>
      </c>
      <c r="C71" s="52">
        <v>35</v>
      </c>
      <c r="D71" s="53">
        <v>1985</v>
      </c>
      <c r="E71" s="53">
        <v>78</v>
      </c>
      <c r="F71" s="55">
        <f t="shared" si="124"/>
        <v>19.541875447387259</v>
      </c>
      <c r="G71" s="55">
        <f t="shared" si="96"/>
        <v>3.9914285714285715</v>
      </c>
      <c r="H71" s="69">
        <f t="shared" si="125"/>
        <v>2.009273570324575E-2</v>
      </c>
      <c r="I71" s="69">
        <f t="shared" si="116"/>
        <v>0.25053686471009307</v>
      </c>
      <c r="J71" s="69">
        <f t="shared" si="117"/>
        <v>3.523779704577816E-2</v>
      </c>
      <c r="K71" s="71">
        <f t="shared" si="126"/>
        <v>28.378618524332808</v>
      </c>
      <c r="L71" s="85">
        <f t="shared" si="118"/>
        <v>554.57142857142856</v>
      </c>
      <c r="M71" s="72">
        <v>18</v>
      </c>
      <c r="N71" s="72">
        <v>0</v>
      </c>
      <c r="O71" s="72">
        <f t="shared" si="7"/>
        <v>18</v>
      </c>
      <c r="P71" s="62">
        <v>0</v>
      </c>
      <c r="Q71" s="62">
        <v>10</v>
      </c>
      <c r="R71" s="62">
        <v>0</v>
      </c>
      <c r="S71" s="62">
        <v>2</v>
      </c>
      <c r="T71" s="62">
        <f t="shared" ref="T71" si="134">SUM(Q71:S71)</f>
        <v>12</v>
      </c>
      <c r="U71" s="62">
        <v>6</v>
      </c>
      <c r="V71" s="71">
        <f t="shared" si="9"/>
        <v>0.6</v>
      </c>
      <c r="W71" s="75">
        <f t="shared" si="10"/>
        <v>1.2000000000000002</v>
      </c>
      <c r="X71" s="72">
        <f t="shared" si="119"/>
        <v>34.054342229199378</v>
      </c>
      <c r="Y71" s="114">
        <f t="shared" si="127"/>
        <v>612.97816012558883</v>
      </c>
      <c r="Z71" s="72">
        <f t="shared" si="128"/>
        <v>37.038150538021036</v>
      </c>
      <c r="AA71" s="114">
        <f t="shared" si="77"/>
        <v>666.68670968437868</v>
      </c>
      <c r="AB71" s="120">
        <f t="shared" si="78"/>
        <v>1</v>
      </c>
      <c r="AC71" s="114">
        <f t="shared" si="129"/>
        <v>28.378618524332808</v>
      </c>
      <c r="AD71" s="114">
        <f t="shared" si="130"/>
        <v>510.81513343799054</v>
      </c>
      <c r="AE71" s="72">
        <f t="shared" si="131"/>
        <v>50.755185603829851</v>
      </c>
      <c r="AF71" s="72">
        <f t="shared" si="81"/>
        <v>913.59334086893728</v>
      </c>
      <c r="AG71" s="117">
        <f t="shared" si="132"/>
        <v>46369.599582225906</v>
      </c>
      <c r="AH71" s="62"/>
      <c r="AI71" s="141">
        <v>5</v>
      </c>
      <c r="AJ71" s="152">
        <f t="shared" si="122"/>
        <v>90</v>
      </c>
      <c r="AK71" s="165">
        <f t="shared" si="112"/>
        <v>12.128803846296869</v>
      </c>
      <c r="AL71" s="158">
        <f t="shared" si="123"/>
        <v>218.31846923334365</v>
      </c>
      <c r="AM71" s="138">
        <f t="shared" si="133"/>
        <v>2647.9418893550228</v>
      </c>
      <c r="AN71" s="62"/>
    </row>
    <row r="72" spans="1:40">
      <c r="A72" s="52" t="s">
        <v>37</v>
      </c>
      <c r="B72" s="52" t="s">
        <v>13</v>
      </c>
      <c r="C72" s="52">
        <v>32</v>
      </c>
      <c r="D72" s="53">
        <v>1980</v>
      </c>
      <c r="E72" s="53">
        <v>108</v>
      </c>
      <c r="F72" s="55">
        <f t="shared" si="124"/>
        <v>27.057981388690049</v>
      </c>
      <c r="G72" s="55">
        <f t="shared" si="96"/>
        <v>3.9914285714285715</v>
      </c>
      <c r="H72" s="69">
        <f t="shared" si="125"/>
        <v>2.7820710973724884E-2</v>
      </c>
      <c r="I72" s="69">
        <f t="shared" si="116"/>
        <v>0.25053686471009307</v>
      </c>
      <c r="J72" s="69">
        <f t="shared" si="117"/>
        <v>4.8790795909538984E-2</v>
      </c>
      <c r="K72" s="71">
        <f t="shared" si="126"/>
        <v>20.495668934240364</v>
      </c>
      <c r="L72" s="85">
        <f t="shared" si="118"/>
        <v>554.57142857142856</v>
      </c>
      <c r="M72" s="72">
        <v>18</v>
      </c>
      <c r="N72" s="72">
        <v>0</v>
      </c>
      <c r="O72" s="72">
        <f t="shared" si="7"/>
        <v>18</v>
      </c>
      <c r="P72" s="62">
        <v>13</v>
      </c>
      <c r="Q72" s="62">
        <v>12</v>
      </c>
      <c r="R72" s="62">
        <v>0</v>
      </c>
      <c r="S72" s="62">
        <v>4</v>
      </c>
      <c r="T72" s="62">
        <f t="shared" si="8"/>
        <v>16</v>
      </c>
      <c r="U72" s="62">
        <v>34</v>
      </c>
      <c r="V72" s="71">
        <f t="shared" si="9"/>
        <v>0.65957446808510634</v>
      </c>
      <c r="W72" s="75">
        <f t="shared" si="10"/>
        <v>1.7234042553191486</v>
      </c>
      <c r="X72" s="72">
        <f t="shared" si="119"/>
        <v>35.322323056882325</v>
      </c>
      <c r="Y72" s="114">
        <f t="shared" si="127"/>
        <v>635.80181502388189</v>
      </c>
      <c r="Z72" s="72">
        <f t="shared" si="128"/>
        <v>38.417230611245209</v>
      </c>
      <c r="AA72" s="114">
        <f t="shared" si="77"/>
        <v>691.51015100241375</v>
      </c>
      <c r="AB72" s="120">
        <f t="shared" si="78"/>
        <v>0.58064516129032262</v>
      </c>
      <c r="AC72" s="114">
        <f t="shared" si="129"/>
        <v>11.90071099407505</v>
      </c>
      <c r="AD72" s="114">
        <f t="shared" si="130"/>
        <v>214.21279789335091</v>
      </c>
      <c r="AE72" s="72">
        <f t="shared" si="131"/>
        <v>21.284432672573814</v>
      </c>
      <c r="AF72" s="72">
        <f t="shared" si="81"/>
        <v>383.11978810632866</v>
      </c>
      <c r="AG72" s="117">
        <f t="shared" si="132"/>
        <v>8154.4873354798983</v>
      </c>
      <c r="AH72" s="62"/>
      <c r="AI72" s="141">
        <v>5</v>
      </c>
      <c r="AJ72" s="152">
        <f t="shared" si="122"/>
        <v>90</v>
      </c>
      <c r="AK72" s="165">
        <f t="shared" si="112"/>
        <v>12.128803846296869</v>
      </c>
      <c r="AL72" s="158">
        <f t="shared" si="123"/>
        <v>218.31846923334365</v>
      </c>
      <c r="AM72" s="138">
        <f t="shared" si="133"/>
        <v>2647.9418893550228</v>
      </c>
      <c r="AN72" s="62"/>
    </row>
    <row r="73" spans="1:40">
      <c r="A73" s="52" t="s">
        <v>37</v>
      </c>
      <c r="B73" s="52" t="s">
        <v>14</v>
      </c>
      <c r="C73" s="52">
        <v>34</v>
      </c>
      <c r="D73" s="53">
        <v>1980</v>
      </c>
      <c r="E73" s="53">
        <v>173</v>
      </c>
      <c r="F73" s="55">
        <f t="shared" si="124"/>
        <v>43.342877594846101</v>
      </c>
      <c r="G73" s="55">
        <f t="shared" si="96"/>
        <v>3.9914285714285711</v>
      </c>
      <c r="H73" s="69">
        <f t="shared" si="125"/>
        <v>4.4564657393096341E-2</v>
      </c>
      <c r="I73" s="69">
        <f t="shared" si="116"/>
        <v>0.25053686471009307</v>
      </c>
      <c r="J73" s="69">
        <f t="shared" si="117"/>
        <v>7.8155626781020782E-2</v>
      </c>
      <c r="K73" s="71">
        <f t="shared" si="126"/>
        <v>12.794984074554678</v>
      </c>
      <c r="L73" s="85">
        <f t="shared" si="118"/>
        <v>554.57142857142867</v>
      </c>
      <c r="M73" s="72">
        <v>20</v>
      </c>
      <c r="N73" s="72">
        <v>0</v>
      </c>
      <c r="O73" s="72">
        <f t="shared" si="7"/>
        <v>20</v>
      </c>
      <c r="P73" s="62">
        <v>1</v>
      </c>
      <c r="Q73" s="62">
        <v>40</v>
      </c>
      <c r="R73" s="62">
        <v>0</v>
      </c>
      <c r="S73" s="62">
        <v>0</v>
      </c>
      <c r="T73" s="62">
        <f t="shared" si="8"/>
        <v>40</v>
      </c>
      <c r="U73" s="62">
        <v>25</v>
      </c>
      <c r="V73" s="71">
        <f t="shared" si="9"/>
        <v>0.34426229508196721</v>
      </c>
      <c r="W73" s="75">
        <f t="shared" si="10"/>
        <v>1.4098360655737703</v>
      </c>
      <c r="X73" s="72">
        <f t="shared" si="119"/>
        <v>18.038830006749215</v>
      </c>
      <c r="Y73" s="114">
        <f t="shared" si="127"/>
        <v>360.77660013498428</v>
      </c>
      <c r="Z73" s="72">
        <f t="shared" si="128"/>
        <v>19.619374728279876</v>
      </c>
      <c r="AA73" s="114">
        <f t="shared" si="77"/>
        <v>392.38749456559754</v>
      </c>
      <c r="AB73" s="120">
        <f t="shared" si="78"/>
        <v>0.95238095238095244</v>
      </c>
      <c r="AC73" s="114">
        <f t="shared" si="129"/>
        <v>12.185699118623504</v>
      </c>
      <c r="AD73" s="114">
        <f t="shared" si="130"/>
        <v>243.71398237247007</v>
      </c>
      <c r="AE73" s="72">
        <f t="shared" si="131"/>
        <v>21.794134198176323</v>
      </c>
      <c r="AF73" s="72">
        <f t="shared" si="81"/>
        <v>435.88268396352646</v>
      </c>
      <c r="AG73" s="117">
        <f t="shared" si="132"/>
        <v>9499.6857089623736</v>
      </c>
      <c r="AH73" s="62"/>
      <c r="AI73" s="141">
        <v>5</v>
      </c>
      <c r="AJ73" s="152">
        <f t="shared" si="122"/>
        <v>100</v>
      </c>
      <c r="AK73" s="165">
        <f t="shared" si="112"/>
        <v>12.128803846296869</v>
      </c>
      <c r="AL73" s="158">
        <f t="shared" si="123"/>
        <v>242.57607692593737</v>
      </c>
      <c r="AM73" s="138">
        <f t="shared" si="133"/>
        <v>2942.1576548389139</v>
      </c>
      <c r="AN73" s="62"/>
    </row>
    <row r="74" spans="1:40">
      <c r="A74" s="52" t="s">
        <v>37</v>
      </c>
      <c r="B74" s="52" t="s">
        <v>45</v>
      </c>
      <c r="C74" s="52">
        <v>30</v>
      </c>
      <c r="D74" s="53">
        <v>1980</v>
      </c>
      <c r="E74" s="53">
        <v>762</v>
      </c>
      <c r="F74" s="55">
        <f t="shared" si="124"/>
        <v>190.90909090909091</v>
      </c>
      <c r="G74" s="55">
        <f t="shared" si="96"/>
        <v>3.9914285714285715</v>
      </c>
      <c r="H74" s="69">
        <f t="shared" si="125"/>
        <v>0.19629057187017002</v>
      </c>
      <c r="I74" s="69">
        <f t="shared" si="116"/>
        <v>0.25053686471009307</v>
      </c>
      <c r="J74" s="69">
        <f t="shared" si="117"/>
        <v>0.34424617113952505</v>
      </c>
      <c r="K74" s="71">
        <f t="shared" si="126"/>
        <v>2.9048979591836739</v>
      </c>
      <c r="L74" s="85">
        <f t="shared" si="118"/>
        <v>554.57142857142867</v>
      </c>
      <c r="M74" s="72">
        <v>92</v>
      </c>
      <c r="N74" s="72">
        <v>1</v>
      </c>
      <c r="O74" s="72">
        <f t="shared" si="7"/>
        <v>93</v>
      </c>
      <c r="P74" s="62">
        <v>3</v>
      </c>
      <c r="Q74" s="62">
        <v>17</v>
      </c>
      <c r="R74" s="62">
        <v>10</v>
      </c>
      <c r="S74" s="62">
        <v>2</v>
      </c>
      <c r="T74" s="62">
        <f t="shared" si="8"/>
        <v>29</v>
      </c>
      <c r="U74" s="62">
        <v>21</v>
      </c>
      <c r="V74" s="71">
        <f t="shared" si="9"/>
        <v>0.76800000000000002</v>
      </c>
      <c r="W74" s="75">
        <f t="shared" si="10"/>
        <v>1.1679999999999999</v>
      </c>
      <c r="X74" s="72">
        <f t="shared" si="119"/>
        <v>3.392920816326531</v>
      </c>
      <c r="Y74" s="114">
        <f t="shared" si="127"/>
        <v>315.54163591836738</v>
      </c>
      <c r="Z74" s="72">
        <f t="shared" si="128"/>
        <v>3.6902052347067671</v>
      </c>
      <c r="AA74" s="114">
        <f t="shared" si="77"/>
        <v>343.18908682772934</v>
      </c>
      <c r="AB74" s="120">
        <f t="shared" si="78"/>
        <v>0.96875</v>
      </c>
      <c r="AC74" s="114">
        <f t="shared" si="129"/>
        <v>2.8141198979591842</v>
      </c>
      <c r="AD74" s="114">
        <f t="shared" si="130"/>
        <v>261.71315051020412</v>
      </c>
      <c r="AE74" s="72">
        <f t="shared" si="131"/>
        <v>5.033056052741987</v>
      </c>
      <c r="AF74" s="72">
        <f t="shared" si="81"/>
        <v>468.0742129050048</v>
      </c>
      <c r="AG74" s="117">
        <f t="shared" si="132"/>
        <v>2355.8437503939758</v>
      </c>
      <c r="AH74" s="62"/>
      <c r="AI74" s="141">
        <v>5.033056052741987</v>
      </c>
      <c r="AJ74" s="152">
        <f t="shared" si="122"/>
        <v>468.0742129050048</v>
      </c>
      <c r="AK74" s="165">
        <f t="shared" si="112"/>
        <v>12.20898992222495</v>
      </c>
      <c r="AL74" s="158">
        <f t="shared" si="123"/>
        <v>1135.4360627669203</v>
      </c>
      <c r="AM74" s="138">
        <f t="shared" si="133"/>
        <v>13862.527447652106</v>
      </c>
      <c r="AN74" s="62"/>
    </row>
    <row r="75" spans="1:40">
      <c r="A75" s="57" t="s">
        <v>37</v>
      </c>
      <c r="B75" s="57" t="s">
        <v>116</v>
      </c>
      <c r="C75" s="57">
        <v>31</v>
      </c>
      <c r="D75" s="53" t="s">
        <v>40</v>
      </c>
      <c r="E75" s="53">
        <v>120</v>
      </c>
      <c r="F75" s="55">
        <f t="shared" si="124"/>
        <v>30.064423765211167</v>
      </c>
      <c r="G75" s="55">
        <f t="shared" si="96"/>
        <v>3.9914285714285715</v>
      </c>
      <c r="H75" s="69">
        <f t="shared" si="125"/>
        <v>3.0911901081916538E-2</v>
      </c>
      <c r="I75" s="69">
        <f t="shared" si="116"/>
        <v>0.25053686471009307</v>
      </c>
      <c r="J75" s="69">
        <f t="shared" si="117"/>
        <v>5.4211995455043321E-2</v>
      </c>
      <c r="K75" s="71">
        <f t="shared" si="126"/>
        <v>18.446102040816324</v>
      </c>
      <c r="L75" s="85">
        <f t="shared" si="118"/>
        <v>554.57142857142856</v>
      </c>
      <c r="M75" s="72">
        <v>14</v>
      </c>
      <c r="N75" s="72"/>
      <c r="O75" s="72">
        <f t="shared" si="7"/>
        <v>14</v>
      </c>
      <c r="P75" s="62">
        <v>1</v>
      </c>
      <c r="Q75" s="62">
        <v>22</v>
      </c>
      <c r="R75" s="62">
        <v>0</v>
      </c>
      <c r="S75" s="62">
        <v>6</v>
      </c>
      <c r="T75" s="62">
        <f t="shared" si="8"/>
        <v>28</v>
      </c>
      <c r="U75" s="62">
        <v>14</v>
      </c>
      <c r="V75" s="71">
        <f t="shared" si="9"/>
        <v>0.34883720930232559</v>
      </c>
      <c r="W75" s="75">
        <f t="shared" si="10"/>
        <v>1.3255813953488371</v>
      </c>
      <c r="X75" s="72">
        <f t="shared" si="119"/>
        <v>24.451809682012335</v>
      </c>
      <c r="Y75" s="114">
        <f t="shared" si="127"/>
        <v>342.32533554817269</v>
      </c>
      <c r="Z75" s="72">
        <f t="shared" si="128"/>
        <v>26.594253438637185</v>
      </c>
      <c r="AA75" s="114">
        <f t="shared" si="77"/>
        <v>372.31954814092057</v>
      </c>
      <c r="AB75" s="120">
        <f t="shared" si="78"/>
        <v>0.93333333333333335</v>
      </c>
      <c r="AC75" s="114">
        <f t="shared" si="129"/>
        <v>17.216361904761904</v>
      </c>
      <c r="AD75" s="114">
        <f t="shared" si="130"/>
        <v>241.02906666666667</v>
      </c>
      <c r="AE75" s="72">
        <f t="shared" si="131"/>
        <v>30.791479266323446</v>
      </c>
      <c r="AF75" s="72">
        <f t="shared" si="81"/>
        <v>431.08070972852823</v>
      </c>
      <c r="AG75" s="117">
        <f t="shared" si="132"/>
        <v>13273.612735717972</v>
      </c>
      <c r="AH75" s="62"/>
      <c r="AI75" s="141">
        <v>5</v>
      </c>
      <c r="AJ75" s="152">
        <f t="shared" si="122"/>
        <v>70</v>
      </c>
      <c r="AK75" s="165">
        <f t="shared" si="112"/>
        <v>12.128803846296869</v>
      </c>
      <c r="AL75" s="158">
        <f t="shared" si="123"/>
        <v>169.80325384815615</v>
      </c>
      <c r="AM75" s="138">
        <f t="shared" si="133"/>
        <v>2059.5103583872396</v>
      </c>
      <c r="AN75" s="62"/>
    </row>
    <row r="76" spans="1:40" s="87" customFormat="1" ht="15.75" thickBot="1">
      <c r="A76" s="88"/>
      <c r="B76" s="88"/>
      <c r="C76" s="88"/>
      <c r="D76" s="88"/>
      <c r="E76" s="88">
        <f>SUM(E69:E75)</f>
        <v>1397</v>
      </c>
      <c r="F76" s="89">
        <f>SUM(F69:F75)</f>
        <v>350.00000000000006</v>
      </c>
      <c r="G76" s="89"/>
      <c r="H76" s="91"/>
      <c r="I76" s="91"/>
      <c r="J76" s="91"/>
      <c r="K76" s="92"/>
      <c r="L76" s="94">
        <f>SUM(L69:L75)</f>
        <v>3882</v>
      </c>
      <c r="M76" s="94">
        <f>SUM(M69:M75)</f>
        <v>191</v>
      </c>
      <c r="N76" s="94">
        <f>SUM(N69:N75)</f>
        <v>3</v>
      </c>
      <c r="O76" s="94">
        <f>SUM(O69:O75)</f>
        <v>194</v>
      </c>
      <c r="P76" s="93"/>
      <c r="Q76" s="93"/>
      <c r="R76" s="93"/>
      <c r="S76" s="93"/>
      <c r="T76" s="93"/>
      <c r="U76" s="93"/>
      <c r="V76" s="92"/>
      <c r="W76" s="95"/>
      <c r="X76" s="94"/>
      <c r="Y76" s="115">
        <f>SUM(Y69:Y75)</f>
        <v>3569.2645181633698</v>
      </c>
      <c r="Z76" s="115"/>
      <c r="AA76" s="115">
        <f>SUM(AA69:AA75)</f>
        <v>3882</v>
      </c>
      <c r="AB76" s="115"/>
      <c r="AC76" s="115"/>
      <c r="AD76" s="115">
        <f>SUM(AD69:AD75)</f>
        <v>2170.5328391735234</v>
      </c>
      <c r="AE76" s="115"/>
      <c r="AF76" s="115">
        <f>SUM(AF69:AF75)</f>
        <v>3881.9999999999995</v>
      </c>
      <c r="AG76" s="115">
        <f>SUM(AG69:AG75)</f>
        <v>131816.75188875958</v>
      </c>
      <c r="AH76" s="93"/>
      <c r="AI76" s="145"/>
      <c r="AJ76" s="153">
        <f>SUM(AJ69:AJ75)</f>
        <v>973.07421290500474</v>
      </c>
      <c r="AK76" s="163"/>
      <c r="AL76" s="161">
        <f>SUM(AL69:AL75)</f>
        <v>2360.4452512429039</v>
      </c>
      <c r="AM76" s="93">
        <f>SUM(AM69:AM75)</f>
        <v>28720.423604588621</v>
      </c>
      <c r="AN76" s="93"/>
    </row>
    <row r="77" spans="1:40">
      <c r="F77" s="60"/>
      <c r="G77" s="60"/>
      <c r="N77" s="1"/>
    </row>
  </sheetData>
  <mergeCells count="5">
    <mergeCell ref="J1:J7"/>
    <mergeCell ref="D9:L9"/>
    <mergeCell ref="AG9:AL9"/>
    <mergeCell ref="M9:AA9"/>
    <mergeCell ref="AB9:AF9"/>
  </mergeCells>
  <pageMargins left="0.7" right="0.7" top="0.75" bottom="0.75" header="0.3" footer="0.3"/>
  <pageSetup orientation="portrait" horizontalDpi="4294967293" verticalDpi="0" r:id="rId1"/>
  <legacyDrawing r:id="rId2"/>
</worksheet>
</file>

<file path=xl/worksheets/sheet6.xml><?xml version="1.0" encoding="utf-8"?>
<worksheet xmlns="http://schemas.openxmlformats.org/spreadsheetml/2006/main" xmlns:r="http://schemas.openxmlformats.org/officeDocument/2006/relationships">
  <dimension ref="A1:AN102"/>
  <sheetViews>
    <sheetView zoomScale="75" zoomScaleNormal="75" workbookViewId="0">
      <pane xSplit="1" ySplit="2" topLeftCell="G18" activePane="bottomRight" state="frozen"/>
      <selection pane="topRight" activeCell="B1" sqref="B1"/>
      <selection pane="bottomLeft" activeCell="A2" sqref="A2"/>
      <selection pane="bottomRight" activeCell="Q45" sqref="Q45"/>
    </sheetView>
  </sheetViews>
  <sheetFormatPr defaultRowHeight="15"/>
  <cols>
    <col min="1" max="1" width="17.42578125" bestFit="1" customWidth="1"/>
    <col min="2" max="2" width="10.5703125" bestFit="1" customWidth="1"/>
    <col min="3" max="3" width="16.85546875" style="61" bestFit="1" customWidth="1"/>
    <col min="4" max="4" width="18.85546875" style="61" customWidth="1"/>
    <col min="6" max="6" width="16.85546875" style="61" bestFit="1" customWidth="1"/>
    <col min="7" max="7" width="17.5703125" style="61" customWidth="1"/>
    <col min="9" max="9" width="16.85546875" style="61" bestFit="1" customWidth="1"/>
    <col min="10" max="10" width="18.85546875" style="61" customWidth="1"/>
    <col min="12" max="12" width="16.85546875" style="61" bestFit="1" customWidth="1"/>
    <col min="13" max="13" width="17.5703125" style="61" customWidth="1"/>
    <col min="15" max="15" width="16.85546875" style="61" bestFit="1" customWidth="1"/>
    <col min="16" max="16" width="18.85546875" style="61" customWidth="1"/>
    <col min="17" max="17" width="10.5703125" bestFit="1" customWidth="1"/>
    <col min="18" max="18" width="16.85546875" style="61" bestFit="1" customWidth="1"/>
    <col min="19" max="19" width="13.42578125" style="61" customWidth="1"/>
    <col min="20" max="20" width="13.85546875" style="61" bestFit="1" customWidth="1"/>
    <col min="21" max="40" width="9.140625" style="61"/>
  </cols>
  <sheetData>
    <row r="1" spans="1:40">
      <c r="B1" s="204" t="s">
        <v>181</v>
      </c>
      <c r="C1" s="204"/>
      <c r="D1" s="204"/>
      <c r="E1" s="204" t="s">
        <v>182</v>
      </c>
      <c r="F1" s="204"/>
      <c r="G1" s="204"/>
      <c r="H1" s="204" t="s">
        <v>183</v>
      </c>
      <c r="I1" s="204"/>
      <c r="J1" s="204"/>
      <c r="K1" s="204" t="s">
        <v>184</v>
      </c>
      <c r="L1" s="204"/>
      <c r="M1" s="204"/>
      <c r="N1" s="204" t="s">
        <v>185</v>
      </c>
      <c r="O1" s="204"/>
      <c r="P1" s="204"/>
      <c r="Q1" s="204" t="s">
        <v>186</v>
      </c>
      <c r="R1" s="204"/>
      <c r="S1" s="204"/>
    </row>
    <row r="2" spans="1:40">
      <c r="A2" t="s">
        <v>222</v>
      </c>
      <c r="B2" t="s">
        <v>220</v>
      </c>
      <c r="C2" s="61" t="s">
        <v>221</v>
      </c>
      <c r="D2" s="61" t="s">
        <v>219</v>
      </c>
      <c r="E2" t="s">
        <v>220</v>
      </c>
      <c r="F2" s="61" t="s">
        <v>221</v>
      </c>
      <c r="G2" s="61" t="s">
        <v>219</v>
      </c>
      <c r="H2" t="s">
        <v>220</v>
      </c>
      <c r="I2" s="61" t="s">
        <v>221</v>
      </c>
      <c r="J2" s="61" t="s">
        <v>219</v>
      </c>
      <c r="K2" t="s">
        <v>220</v>
      </c>
      <c r="L2" s="61" t="s">
        <v>221</v>
      </c>
      <c r="M2" s="61" t="s">
        <v>219</v>
      </c>
      <c r="N2" t="s">
        <v>220</v>
      </c>
      <c r="O2" s="61" t="s">
        <v>221</v>
      </c>
      <c r="P2" s="61" t="s">
        <v>219</v>
      </c>
      <c r="Q2" t="s">
        <v>220</v>
      </c>
      <c r="R2" s="61" t="s">
        <v>221</v>
      </c>
      <c r="S2" s="61" t="s">
        <v>219</v>
      </c>
    </row>
    <row r="3" spans="1:40" s="49" customFormat="1">
      <c r="A3" s="49">
        <v>1</v>
      </c>
      <c r="B3" s="49">
        <v>11</v>
      </c>
      <c r="C3" s="51">
        <v>22104.579015439998</v>
      </c>
      <c r="D3" s="51">
        <v>1098171629.3399999</v>
      </c>
      <c r="E3" s="49">
        <v>26</v>
      </c>
      <c r="F3" s="51">
        <v>27688.969279569999</v>
      </c>
      <c r="G3" s="51">
        <v>664797298.51750004</v>
      </c>
      <c r="H3" s="49">
        <v>17</v>
      </c>
      <c r="I3" s="51">
        <v>146046.3386748</v>
      </c>
      <c r="J3" s="51">
        <v>704163912.18700004</v>
      </c>
      <c r="K3" s="49">
        <v>5</v>
      </c>
      <c r="L3" s="51">
        <v>84725.361826260007</v>
      </c>
      <c r="M3" s="51">
        <v>870345785.51999998</v>
      </c>
      <c r="N3" s="49">
        <v>31</v>
      </c>
      <c r="O3" s="51">
        <v>61376.121865460002</v>
      </c>
      <c r="P3" s="51">
        <v>351086715.21740001</v>
      </c>
      <c r="Q3" s="49">
        <v>30</v>
      </c>
      <c r="R3" s="51">
        <v>89081.329094169996</v>
      </c>
      <c r="S3" s="51">
        <v>803962944.00320005</v>
      </c>
      <c r="T3" s="51"/>
      <c r="U3" s="51"/>
      <c r="V3" s="51"/>
      <c r="W3" s="51"/>
      <c r="X3" s="51"/>
      <c r="Y3" s="51"/>
      <c r="Z3" s="51"/>
      <c r="AA3" s="51"/>
      <c r="AB3" s="51"/>
      <c r="AC3" s="51"/>
      <c r="AD3" s="51"/>
      <c r="AE3" s="51"/>
      <c r="AF3" s="51"/>
      <c r="AG3" s="51"/>
      <c r="AH3" s="51"/>
      <c r="AI3" s="51"/>
      <c r="AJ3" s="51"/>
      <c r="AK3" s="51"/>
      <c r="AL3" s="51"/>
      <c r="AM3" s="51"/>
      <c r="AN3" s="51"/>
    </row>
    <row r="4" spans="1:40" s="51" customFormat="1">
      <c r="A4" s="51">
        <f>A3+1</f>
        <v>2</v>
      </c>
      <c r="B4" s="51">
        <v>11</v>
      </c>
      <c r="C4" s="51">
        <v>22104.579015439998</v>
      </c>
      <c r="D4" s="51">
        <v>1098171629.3399999</v>
      </c>
      <c r="E4" s="51">
        <v>26</v>
      </c>
      <c r="F4" s="51">
        <v>27688.969279569999</v>
      </c>
      <c r="G4" s="51">
        <v>664797298.51750004</v>
      </c>
      <c r="H4" s="51">
        <v>17</v>
      </c>
      <c r="I4" s="51">
        <v>146046.3386748</v>
      </c>
      <c r="J4" s="51">
        <v>704163912.18700004</v>
      </c>
      <c r="K4" s="51">
        <v>5</v>
      </c>
      <c r="L4" s="51">
        <v>84725.361826260007</v>
      </c>
      <c r="M4" s="51">
        <v>870345785.51999998</v>
      </c>
      <c r="N4" s="51">
        <v>31</v>
      </c>
      <c r="O4" s="51">
        <v>61376.121865460002</v>
      </c>
      <c r="P4" s="51">
        <v>351086715.21740001</v>
      </c>
      <c r="Q4" s="51">
        <v>30</v>
      </c>
      <c r="R4" s="51">
        <v>89081.329094169996</v>
      </c>
      <c r="S4" s="51">
        <v>803962944.00320005</v>
      </c>
    </row>
    <row r="5" spans="1:40" s="51" customFormat="1">
      <c r="A5" s="51">
        <f t="shared" ref="A5:A68" si="0">A4+1</f>
        <v>3</v>
      </c>
      <c r="B5" s="51">
        <v>11</v>
      </c>
      <c r="C5" s="51">
        <v>22104.579015439998</v>
      </c>
      <c r="D5" s="51">
        <v>1098171629.3399999</v>
      </c>
      <c r="E5" s="51">
        <v>26</v>
      </c>
      <c r="F5" s="51">
        <v>27688.969279569999</v>
      </c>
      <c r="G5" s="51">
        <v>664797298.51750004</v>
      </c>
      <c r="H5" s="51">
        <v>17</v>
      </c>
      <c r="I5" s="51">
        <v>146046.3386748</v>
      </c>
      <c r="J5" s="51">
        <v>704163912.18700004</v>
      </c>
      <c r="K5" s="51">
        <v>5</v>
      </c>
      <c r="L5" s="51">
        <v>84725.361826260007</v>
      </c>
      <c r="M5" s="51">
        <v>870345785.51999998</v>
      </c>
      <c r="N5" s="51">
        <v>31</v>
      </c>
      <c r="O5" s="51">
        <v>61376.121865460002</v>
      </c>
      <c r="P5" s="51">
        <v>351086715.21740001</v>
      </c>
      <c r="Q5" s="51">
        <v>30</v>
      </c>
      <c r="R5" s="51">
        <v>89081.329094169996</v>
      </c>
      <c r="S5" s="51">
        <v>803962944.00320005</v>
      </c>
    </row>
    <row r="6" spans="1:40" s="51" customFormat="1">
      <c r="A6" s="51">
        <f t="shared" si="0"/>
        <v>4</v>
      </c>
      <c r="B6" s="51">
        <v>11</v>
      </c>
      <c r="C6" s="51">
        <v>22104.579015439998</v>
      </c>
      <c r="D6" s="51">
        <v>1098171629.3399999</v>
      </c>
      <c r="E6" s="51">
        <v>26</v>
      </c>
      <c r="F6" s="51">
        <v>27688.969279569999</v>
      </c>
      <c r="G6" s="51">
        <v>664797298.51750004</v>
      </c>
      <c r="H6" s="51">
        <v>17</v>
      </c>
      <c r="I6" s="51">
        <v>146046.3386748</v>
      </c>
      <c r="J6" s="51">
        <v>704163912.18700004</v>
      </c>
      <c r="K6" s="51">
        <v>5</v>
      </c>
      <c r="L6" s="51">
        <v>84725.361826260007</v>
      </c>
      <c r="M6" s="51">
        <v>870345785.51999998</v>
      </c>
      <c r="N6" s="51">
        <v>31</v>
      </c>
      <c r="O6" s="51">
        <v>61376.121865460002</v>
      </c>
      <c r="P6" s="51">
        <v>351086715.21740001</v>
      </c>
      <c r="Q6" s="51">
        <v>30</v>
      </c>
      <c r="R6" s="51">
        <v>89081.329094169996</v>
      </c>
      <c r="S6" s="51">
        <v>803962944.00320005</v>
      </c>
    </row>
    <row r="7" spans="1:40" s="51" customFormat="1">
      <c r="A7" s="51">
        <f t="shared" si="0"/>
        <v>5</v>
      </c>
      <c r="B7" s="51">
        <v>11</v>
      </c>
      <c r="C7" s="51">
        <v>22104.579015439998</v>
      </c>
      <c r="D7" s="51">
        <v>1098171629.3399999</v>
      </c>
      <c r="E7" s="51">
        <v>26</v>
      </c>
      <c r="F7" s="51">
        <v>27688.969279569999</v>
      </c>
      <c r="G7" s="51">
        <v>664797298.51750004</v>
      </c>
      <c r="H7" s="51">
        <v>17</v>
      </c>
      <c r="I7" s="51">
        <v>146046.3386748</v>
      </c>
      <c r="J7" s="51">
        <v>704163912.18700004</v>
      </c>
      <c r="K7" s="51">
        <v>5</v>
      </c>
      <c r="L7" s="51">
        <v>84725.361826260007</v>
      </c>
      <c r="M7" s="51">
        <v>870345785.51999998</v>
      </c>
      <c r="N7" s="51">
        <v>31</v>
      </c>
      <c r="O7" s="51">
        <v>61376.121865460002</v>
      </c>
      <c r="P7" s="51">
        <v>351086715.21740001</v>
      </c>
      <c r="Q7" s="51">
        <v>30</v>
      </c>
      <c r="R7" s="51">
        <v>89081.329094169996</v>
      </c>
      <c r="S7" s="51">
        <v>803962944.00320005</v>
      </c>
    </row>
    <row r="8" spans="1:40" s="51" customFormat="1">
      <c r="A8" s="51">
        <f t="shared" si="0"/>
        <v>6</v>
      </c>
      <c r="B8" s="51">
        <v>11</v>
      </c>
      <c r="C8" s="51">
        <v>22104.579015439998</v>
      </c>
      <c r="D8" s="51">
        <v>1098171629.3399999</v>
      </c>
      <c r="E8" s="51">
        <v>26</v>
      </c>
      <c r="F8" s="51">
        <v>27688.969279569999</v>
      </c>
      <c r="G8" s="51">
        <v>664797298.51750004</v>
      </c>
      <c r="H8" s="51">
        <v>17</v>
      </c>
      <c r="I8" s="51">
        <v>146046.3386748</v>
      </c>
      <c r="J8" s="51">
        <v>704163912.18700004</v>
      </c>
      <c r="K8" s="51">
        <v>5</v>
      </c>
      <c r="L8" s="51">
        <v>84725.361826260007</v>
      </c>
      <c r="M8" s="51">
        <v>870345785.51999998</v>
      </c>
      <c r="N8" s="51">
        <v>31</v>
      </c>
      <c r="O8" s="51">
        <v>61376.121865460002</v>
      </c>
      <c r="P8" s="51">
        <v>351086715.21740001</v>
      </c>
      <c r="Q8" s="51">
        <v>30</v>
      </c>
      <c r="R8" s="51">
        <v>89081.329094169996</v>
      </c>
      <c r="S8" s="51">
        <v>803962944.00320005</v>
      </c>
    </row>
    <row r="9" spans="1:40" s="51" customFormat="1">
      <c r="A9" s="51">
        <f t="shared" si="0"/>
        <v>7</v>
      </c>
      <c r="B9" s="51">
        <v>11</v>
      </c>
      <c r="C9" s="51">
        <v>22104.579015439998</v>
      </c>
      <c r="D9" s="51">
        <v>1098171629.3399999</v>
      </c>
      <c r="E9" s="51">
        <v>26</v>
      </c>
      <c r="F9" s="51">
        <v>27688.969279569999</v>
      </c>
      <c r="G9" s="51">
        <v>664797298.51750004</v>
      </c>
      <c r="H9" s="51">
        <v>17</v>
      </c>
      <c r="I9" s="51">
        <v>146046.3386748</v>
      </c>
      <c r="J9" s="51">
        <v>704163912.18700004</v>
      </c>
      <c r="K9" s="51">
        <v>5</v>
      </c>
      <c r="L9" s="51">
        <v>84725.361826260007</v>
      </c>
      <c r="M9" s="51">
        <v>870345785.51999998</v>
      </c>
      <c r="N9" s="51">
        <v>31</v>
      </c>
      <c r="O9" s="51">
        <v>61376.121865460002</v>
      </c>
      <c r="P9" s="51">
        <v>351086715.21740001</v>
      </c>
      <c r="Q9" s="51">
        <v>30</v>
      </c>
      <c r="R9" s="51">
        <v>89081.329094169996</v>
      </c>
      <c r="S9" s="51">
        <v>803962944.00320005</v>
      </c>
    </row>
    <row r="10" spans="1:40" s="51" customFormat="1">
      <c r="A10" s="51">
        <f t="shared" si="0"/>
        <v>8</v>
      </c>
      <c r="B10" s="51">
        <v>11</v>
      </c>
      <c r="C10" s="51">
        <v>22104.579015439998</v>
      </c>
      <c r="D10" s="51">
        <v>1098171629.3399999</v>
      </c>
      <c r="E10" s="51">
        <v>26</v>
      </c>
      <c r="F10" s="51">
        <v>27688.969279569999</v>
      </c>
      <c r="G10" s="51">
        <v>664797298.51750004</v>
      </c>
      <c r="H10" s="51">
        <v>17</v>
      </c>
      <c r="I10" s="51">
        <v>146046.3386748</v>
      </c>
      <c r="J10" s="51">
        <v>704163912.18700004</v>
      </c>
      <c r="K10" s="51">
        <v>5</v>
      </c>
      <c r="L10" s="51">
        <v>84725.361826260007</v>
      </c>
      <c r="M10" s="51">
        <v>870345785.51999998</v>
      </c>
      <c r="N10" s="51">
        <v>31</v>
      </c>
      <c r="O10" s="51">
        <v>61376.121865460002</v>
      </c>
      <c r="P10" s="51">
        <v>351086715.21740001</v>
      </c>
      <c r="Q10" s="51">
        <v>30</v>
      </c>
      <c r="R10" s="51">
        <v>89081.329094169996</v>
      </c>
      <c r="S10" s="51">
        <v>803962944.00320005</v>
      </c>
    </row>
    <row r="11" spans="1:40" s="51" customFormat="1">
      <c r="A11" s="51">
        <f t="shared" si="0"/>
        <v>9</v>
      </c>
      <c r="B11" s="51">
        <v>11</v>
      </c>
      <c r="C11" s="51">
        <v>22104.579015439998</v>
      </c>
      <c r="D11" s="51">
        <v>1098171629.3399999</v>
      </c>
      <c r="E11" s="51">
        <v>26</v>
      </c>
      <c r="F11" s="51">
        <v>27688.969279569999</v>
      </c>
      <c r="G11" s="51">
        <v>664797298.51750004</v>
      </c>
      <c r="H11" s="51">
        <v>17</v>
      </c>
      <c r="I11" s="51">
        <v>146046.3386748</v>
      </c>
      <c r="J11" s="51">
        <v>704163912.18700004</v>
      </c>
      <c r="K11" s="51">
        <v>5</v>
      </c>
      <c r="L11" s="51">
        <v>84725.361826260007</v>
      </c>
      <c r="M11" s="51">
        <v>870345785.51999998</v>
      </c>
      <c r="N11" s="51">
        <v>31</v>
      </c>
      <c r="O11" s="51">
        <v>61376.121865460002</v>
      </c>
      <c r="P11" s="51">
        <v>351086715.21740001</v>
      </c>
      <c r="Q11" s="51">
        <v>30</v>
      </c>
      <c r="R11" s="51">
        <v>89081.329094169996</v>
      </c>
      <c r="S11" s="51">
        <v>803962944.00320005</v>
      </c>
    </row>
    <row r="12" spans="1:40" s="51" customFormat="1">
      <c r="A12" s="51">
        <f t="shared" si="0"/>
        <v>10</v>
      </c>
      <c r="B12" s="51">
        <v>11</v>
      </c>
      <c r="C12" s="51">
        <v>22104.579015439998</v>
      </c>
      <c r="D12" s="51">
        <v>1098171629.3399999</v>
      </c>
      <c r="E12" s="51">
        <v>26</v>
      </c>
      <c r="F12" s="51">
        <v>27688.969279569999</v>
      </c>
      <c r="G12" s="51">
        <v>664797298.51750004</v>
      </c>
      <c r="H12" s="51">
        <v>17</v>
      </c>
      <c r="I12" s="51">
        <v>146046.3386748</v>
      </c>
      <c r="J12" s="51">
        <v>704163912.18700004</v>
      </c>
      <c r="K12" s="51">
        <v>5</v>
      </c>
      <c r="L12" s="51">
        <v>84725.361826260007</v>
      </c>
      <c r="M12" s="51">
        <v>870345785.51999998</v>
      </c>
      <c r="N12" s="51">
        <v>31</v>
      </c>
      <c r="O12" s="51">
        <v>61376.121865460002</v>
      </c>
      <c r="P12" s="51">
        <v>351086715.21740001</v>
      </c>
      <c r="Q12" s="51">
        <v>30</v>
      </c>
      <c r="R12" s="51">
        <v>89081.329094169996</v>
      </c>
      <c r="S12" s="51">
        <v>803962944.00320005</v>
      </c>
    </row>
    <row r="13" spans="1:40" s="51" customFormat="1">
      <c r="A13" s="51">
        <f t="shared" si="0"/>
        <v>11</v>
      </c>
      <c r="B13" s="51">
        <v>11</v>
      </c>
      <c r="C13" s="51">
        <v>22104.579015439998</v>
      </c>
      <c r="D13" s="51">
        <v>1098171629.3399999</v>
      </c>
      <c r="E13" s="51">
        <v>26</v>
      </c>
      <c r="F13" s="51">
        <v>27688.969279569999</v>
      </c>
      <c r="G13" s="51">
        <v>664797298.51750004</v>
      </c>
      <c r="H13" s="51">
        <v>17</v>
      </c>
      <c r="I13" s="51">
        <v>146046.3386748</v>
      </c>
      <c r="J13" s="51">
        <v>704163912.18700004</v>
      </c>
      <c r="K13" s="51">
        <v>5</v>
      </c>
      <c r="L13" s="51">
        <v>84725.361826260007</v>
      </c>
      <c r="M13" s="51">
        <v>870345785.51999998</v>
      </c>
      <c r="N13" s="51">
        <v>31</v>
      </c>
      <c r="O13" s="51">
        <v>61376.121865460002</v>
      </c>
      <c r="P13" s="51">
        <v>351086715.21740001</v>
      </c>
      <c r="Q13" s="51">
        <v>30</v>
      </c>
      <c r="R13" s="51">
        <v>89081.329094169996</v>
      </c>
      <c r="S13" s="51">
        <v>803962944.00320005</v>
      </c>
    </row>
    <row r="14" spans="1:40" s="51" customFormat="1">
      <c r="A14" s="51">
        <f t="shared" si="0"/>
        <v>12</v>
      </c>
      <c r="B14" s="51">
        <v>11</v>
      </c>
      <c r="C14" s="51">
        <v>22104.579015439998</v>
      </c>
      <c r="D14" s="51">
        <v>1098171629.3399999</v>
      </c>
      <c r="E14" s="51">
        <v>26</v>
      </c>
      <c r="F14" s="51">
        <v>27688.969279569999</v>
      </c>
      <c r="G14" s="51">
        <v>664797298.51750004</v>
      </c>
      <c r="H14" s="51">
        <v>17</v>
      </c>
      <c r="I14" s="51">
        <v>146046.3386748</v>
      </c>
      <c r="J14" s="51">
        <v>704163912.18700004</v>
      </c>
      <c r="K14" s="51">
        <v>5</v>
      </c>
      <c r="L14" s="51">
        <v>84725.361826260007</v>
      </c>
      <c r="M14" s="51">
        <v>870345785.51999998</v>
      </c>
      <c r="N14" s="51">
        <v>31</v>
      </c>
      <c r="O14" s="51">
        <v>61376.121865460002</v>
      </c>
      <c r="P14" s="51">
        <v>351086715.21740001</v>
      </c>
      <c r="Q14" s="51">
        <v>30</v>
      </c>
      <c r="R14" s="51">
        <v>89081.329094169996</v>
      </c>
      <c r="S14" s="51">
        <v>803962944.00320005</v>
      </c>
    </row>
    <row r="15" spans="1:40" s="51" customFormat="1">
      <c r="A15" s="51">
        <f t="shared" si="0"/>
        <v>13</v>
      </c>
      <c r="B15" s="51">
        <v>11</v>
      </c>
      <c r="C15" s="51">
        <v>22104.579015439998</v>
      </c>
      <c r="D15" s="51">
        <v>1098171629.3399999</v>
      </c>
      <c r="E15" s="51">
        <v>26</v>
      </c>
      <c r="F15" s="51">
        <v>27688.969279569999</v>
      </c>
      <c r="G15" s="51">
        <v>664797298.51750004</v>
      </c>
      <c r="H15" s="51">
        <v>17</v>
      </c>
      <c r="I15" s="51">
        <v>146046.3386748</v>
      </c>
      <c r="J15" s="51">
        <v>704163912.18700004</v>
      </c>
      <c r="K15" s="51">
        <v>5</v>
      </c>
      <c r="L15" s="51">
        <v>84725.361826260007</v>
      </c>
      <c r="M15" s="51">
        <v>870345785.51999998</v>
      </c>
      <c r="N15" s="51">
        <v>31</v>
      </c>
      <c r="O15" s="51">
        <v>61376.121865460002</v>
      </c>
      <c r="P15" s="51">
        <v>351086715.21740001</v>
      </c>
      <c r="Q15" s="51">
        <v>30</v>
      </c>
      <c r="R15" s="51">
        <v>89081.329094169996</v>
      </c>
      <c r="S15" s="51">
        <v>803962944.00320005</v>
      </c>
    </row>
    <row r="16" spans="1:40" s="51" customFormat="1">
      <c r="A16" s="51">
        <f t="shared" si="0"/>
        <v>14</v>
      </c>
      <c r="B16" s="51">
        <v>11</v>
      </c>
      <c r="C16" s="51">
        <v>22104.579015439998</v>
      </c>
      <c r="D16" s="51">
        <v>1098171629.3399999</v>
      </c>
      <c r="E16" s="51">
        <v>26</v>
      </c>
      <c r="F16" s="51">
        <v>27688.969279569999</v>
      </c>
      <c r="G16" s="51">
        <v>664797298.51750004</v>
      </c>
      <c r="H16" s="51">
        <v>17</v>
      </c>
      <c r="I16" s="51">
        <v>146046.3386748</v>
      </c>
      <c r="J16" s="51">
        <v>704163912.18700004</v>
      </c>
      <c r="K16" s="51">
        <v>5</v>
      </c>
      <c r="L16" s="51">
        <v>84725.361826260007</v>
      </c>
      <c r="M16" s="51">
        <v>870345785.51999998</v>
      </c>
      <c r="N16" s="51">
        <v>31</v>
      </c>
      <c r="O16" s="51">
        <v>61376.121865460002</v>
      </c>
      <c r="P16" s="51">
        <v>351086715.21740001</v>
      </c>
      <c r="Q16" s="51">
        <v>30</v>
      </c>
      <c r="R16" s="51">
        <v>89081.329094169996</v>
      </c>
      <c r="S16" s="51">
        <v>803962944.00320005</v>
      </c>
    </row>
    <row r="17" spans="1:20" s="51" customFormat="1">
      <c r="A17" s="51">
        <f t="shared" si="0"/>
        <v>15</v>
      </c>
      <c r="B17" s="51">
        <v>11</v>
      </c>
      <c r="C17" s="51">
        <v>22104.579015439998</v>
      </c>
      <c r="D17" s="51">
        <v>1098171629.3399999</v>
      </c>
      <c r="E17" s="51">
        <v>26</v>
      </c>
      <c r="F17" s="51">
        <v>27688.969279569999</v>
      </c>
      <c r="G17" s="51">
        <v>664797298.51750004</v>
      </c>
      <c r="H17" s="51">
        <v>17</v>
      </c>
      <c r="I17" s="51">
        <v>146046.3386748</v>
      </c>
      <c r="J17" s="51">
        <v>704163912.18700004</v>
      </c>
      <c r="K17" s="51">
        <v>5</v>
      </c>
      <c r="L17" s="51">
        <v>84725.361826260007</v>
      </c>
      <c r="M17" s="51">
        <v>870345785.51999998</v>
      </c>
      <c r="N17" s="51">
        <v>31</v>
      </c>
      <c r="O17" s="51">
        <v>61376.121865460002</v>
      </c>
      <c r="P17" s="51">
        <v>351086715.21740001</v>
      </c>
      <c r="Q17" s="51">
        <v>30</v>
      </c>
      <c r="R17" s="51">
        <v>89081.329094169996</v>
      </c>
      <c r="S17" s="51">
        <v>803962944.00320005</v>
      </c>
    </row>
    <row r="18" spans="1:20" s="51" customFormat="1">
      <c r="A18" s="51">
        <f t="shared" si="0"/>
        <v>16</v>
      </c>
      <c r="B18" s="51">
        <v>11</v>
      </c>
      <c r="C18" s="51">
        <v>22104.579015439998</v>
      </c>
      <c r="D18" s="51">
        <v>1098171629.3399999</v>
      </c>
      <c r="E18" s="49">
        <v>36</v>
      </c>
      <c r="F18" s="51">
        <v>28896.505323360001</v>
      </c>
      <c r="G18" s="51">
        <v>556279926.75329995</v>
      </c>
      <c r="H18" s="51">
        <v>17</v>
      </c>
      <c r="I18" s="51">
        <v>146046.3386748</v>
      </c>
      <c r="J18" s="51">
        <v>704163912.18700004</v>
      </c>
      <c r="K18" s="51">
        <v>5</v>
      </c>
      <c r="L18" s="51">
        <v>84725.361826260007</v>
      </c>
      <c r="M18" s="51">
        <v>870345785.51999998</v>
      </c>
      <c r="N18" s="51">
        <v>31</v>
      </c>
      <c r="O18" s="51">
        <v>61376.121865460002</v>
      </c>
      <c r="P18" s="51">
        <v>351086715.21740001</v>
      </c>
      <c r="Q18" s="51">
        <v>30</v>
      </c>
      <c r="R18" s="51">
        <v>89081.329094169996</v>
      </c>
      <c r="S18" s="51">
        <v>803962944.00320005</v>
      </c>
      <c r="T18" s="60"/>
    </row>
    <row r="19" spans="1:20" s="51" customFormat="1">
      <c r="A19" s="51">
        <f t="shared" si="0"/>
        <v>17</v>
      </c>
      <c r="B19" s="51">
        <v>11</v>
      </c>
      <c r="C19" s="51">
        <v>22104.579015439998</v>
      </c>
      <c r="D19" s="51">
        <v>1098171629.3399999</v>
      </c>
      <c r="E19" s="51">
        <v>36</v>
      </c>
      <c r="F19" s="51">
        <v>28896.505323360001</v>
      </c>
      <c r="G19" s="51">
        <v>556279926.75329995</v>
      </c>
      <c r="H19" s="51">
        <v>17</v>
      </c>
      <c r="I19" s="51">
        <v>146046.3386748</v>
      </c>
      <c r="J19" s="51">
        <v>704163912.18700004</v>
      </c>
      <c r="K19" s="51">
        <v>5</v>
      </c>
      <c r="L19" s="51">
        <v>84725.361826260007</v>
      </c>
      <c r="M19" s="51">
        <v>870345785.51999998</v>
      </c>
      <c r="N19" s="51">
        <v>31</v>
      </c>
      <c r="O19" s="51">
        <v>61376.121865460002</v>
      </c>
      <c r="P19" s="51">
        <v>351086715.21740001</v>
      </c>
      <c r="Q19" s="51">
        <v>30</v>
      </c>
      <c r="R19" s="51">
        <v>89081.329094169996</v>
      </c>
      <c r="S19" s="51">
        <v>803962944.00320005</v>
      </c>
    </row>
    <row r="20" spans="1:20" s="51" customFormat="1">
      <c r="A20" s="51">
        <f t="shared" si="0"/>
        <v>18</v>
      </c>
      <c r="B20" s="51">
        <v>11</v>
      </c>
      <c r="C20" s="51">
        <v>22104.579015439998</v>
      </c>
      <c r="D20" s="51">
        <v>1098171629.3399999</v>
      </c>
      <c r="E20" s="51">
        <v>36</v>
      </c>
      <c r="F20" s="51">
        <v>28896.505323360001</v>
      </c>
      <c r="G20" s="51">
        <v>556279926.75329995</v>
      </c>
      <c r="H20" s="51">
        <v>17</v>
      </c>
      <c r="I20" s="51">
        <v>146046.3386748</v>
      </c>
      <c r="J20" s="51">
        <v>704163912.18700004</v>
      </c>
      <c r="K20" s="51">
        <v>5</v>
      </c>
      <c r="L20" s="51">
        <v>84725.361826260007</v>
      </c>
      <c r="M20" s="51">
        <v>870345785.51999998</v>
      </c>
      <c r="N20" s="51">
        <v>31</v>
      </c>
      <c r="O20" s="51">
        <v>61376.121865460002</v>
      </c>
      <c r="P20" s="51">
        <v>351086715.21740001</v>
      </c>
      <c r="Q20" s="51">
        <v>30</v>
      </c>
      <c r="R20" s="51">
        <v>89081.329094169996</v>
      </c>
      <c r="S20" s="51">
        <v>803962944.00320005</v>
      </c>
    </row>
    <row r="21" spans="1:20" s="51" customFormat="1">
      <c r="A21" s="51">
        <f t="shared" si="0"/>
        <v>19</v>
      </c>
      <c r="B21" s="51">
        <v>11</v>
      </c>
      <c r="C21" s="51">
        <v>22104.579015439998</v>
      </c>
      <c r="D21" s="51">
        <v>1098171629.3399999</v>
      </c>
      <c r="E21" s="51">
        <v>36</v>
      </c>
      <c r="F21" s="51">
        <v>28896.505323360001</v>
      </c>
      <c r="G21" s="51">
        <v>556279926.75329995</v>
      </c>
      <c r="H21" s="51">
        <v>17</v>
      </c>
      <c r="I21" s="51">
        <v>146046.3386748</v>
      </c>
      <c r="J21" s="51">
        <v>704163912.18700004</v>
      </c>
      <c r="K21" s="51">
        <v>5</v>
      </c>
      <c r="L21" s="51">
        <v>84725.361826260007</v>
      </c>
      <c r="M21" s="51">
        <v>870345785.51999998</v>
      </c>
      <c r="N21" s="51">
        <v>31</v>
      </c>
      <c r="O21" s="51">
        <v>61376.121865460002</v>
      </c>
      <c r="P21" s="51">
        <v>351086715.21740001</v>
      </c>
      <c r="Q21" s="51">
        <v>30</v>
      </c>
      <c r="R21" s="51">
        <v>89081.329094169996</v>
      </c>
      <c r="S21" s="51">
        <v>803962944.00320005</v>
      </c>
    </row>
    <row r="22" spans="1:20" s="51" customFormat="1">
      <c r="A22" s="51">
        <f t="shared" si="0"/>
        <v>20</v>
      </c>
      <c r="B22" s="109">
        <v>11</v>
      </c>
      <c r="C22" s="51">
        <v>22104.579015439998</v>
      </c>
      <c r="D22" s="51">
        <v>1098171629.3399999</v>
      </c>
      <c r="E22" s="109">
        <v>36</v>
      </c>
      <c r="F22" s="51">
        <v>28896.505323360001</v>
      </c>
      <c r="G22" s="51">
        <v>556279926.75329995</v>
      </c>
      <c r="H22" s="109">
        <v>17</v>
      </c>
      <c r="I22" s="51">
        <v>146046.3386748</v>
      </c>
      <c r="J22" s="51">
        <v>704163912.18700004</v>
      </c>
      <c r="K22" s="51">
        <v>5</v>
      </c>
      <c r="L22" s="51">
        <v>84725.361826260007</v>
      </c>
      <c r="M22" s="51">
        <v>870345785.51999998</v>
      </c>
      <c r="N22" s="51">
        <v>31</v>
      </c>
      <c r="O22" s="51">
        <v>61376.121865460002</v>
      </c>
      <c r="P22" s="51">
        <v>351086715.21740001</v>
      </c>
      <c r="Q22" s="51">
        <v>30</v>
      </c>
      <c r="R22" s="51">
        <v>89081.329094169996</v>
      </c>
      <c r="S22" s="51">
        <v>803962944.00320005</v>
      </c>
    </row>
    <row r="23" spans="1:20" s="51" customFormat="1">
      <c r="A23" s="51">
        <f t="shared" si="0"/>
        <v>21</v>
      </c>
      <c r="B23" s="109">
        <v>11</v>
      </c>
      <c r="C23" s="51">
        <v>22104.579015439998</v>
      </c>
      <c r="D23" s="51">
        <v>1098171629.3399999</v>
      </c>
      <c r="E23" s="109">
        <v>36</v>
      </c>
      <c r="F23" s="51">
        <v>28896.505323360001</v>
      </c>
      <c r="G23" s="51">
        <v>556279926.75329995</v>
      </c>
      <c r="H23" s="109">
        <v>17</v>
      </c>
      <c r="I23" s="51">
        <v>146046.3386748</v>
      </c>
      <c r="J23" s="51">
        <v>704163912.18700004</v>
      </c>
      <c r="K23" s="51">
        <v>5</v>
      </c>
      <c r="L23" s="51">
        <v>84725.361826260007</v>
      </c>
      <c r="M23" s="51">
        <v>870345785.51999998</v>
      </c>
      <c r="N23" s="51">
        <v>31</v>
      </c>
      <c r="O23" s="51">
        <v>61376.121865460002</v>
      </c>
      <c r="P23" s="51">
        <v>351086715.21740001</v>
      </c>
      <c r="Q23" s="51">
        <v>30</v>
      </c>
      <c r="R23" s="51">
        <v>89081.329094169996</v>
      </c>
      <c r="S23" s="51">
        <v>803962944.00320005</v>
      </c>
    </row>
    <row r="24" spans="1:20" s="51" customFormat="1">
      <c r="A24" s="51">
        <f t="shared" si="0"/>
        <v>22</v>
      </c>
      <c r="B24" s="109">
        <v>11</v>
      </c>
      <c r="C24" s="51">
        <v>22104.579015439998</v>
      </c>
      <c r="D24" s="51">
        <v>1098171629.3399999</v>
      </c>
      <c r="E24" s="109">
        <v>36</v>
      </c>
      <c r="F24" s="51">
        <v>28896.505323360001</v>
      </c>
      <c r="G24" s="51">
        <v>556279926.75329995</v>
      </c>
      <c r="H24" s="109">
        <v>17</v>
      </c>
      <c r="I24" s="51">
        <v>146046.3386748</v>
      </c>
      <c r="J24" s="51">
        <v>704163912.18700004</v>
      </c>
      <c r="K24" s="51">
        <v>5</v>
      </c>
      <c r="L24" s="51">
        <v>84725.361826260007</v>
      </c>
      <c r="M24" s="51">
        <v>870345785.51999998</v>
      </c>
      <c r="N24" s="51">
        <v>31</v>
      </c>
      <c r="O24" s="51">
        <v>61376.121865460002</v>
      </c>
      <c r="P24" s="51">
        <v>351086715.21740001</v>
      </c>
      <c r="Q24" s="51">
        <v>30</v>
      </c>
      <c r="R24" s="51">
        <v>89081.329094169996</v>
      </c>
      <c r="S24" s="51">
        <v>803962944.00320005</v>
      </c>
    </row>
    <row r="25" spans="1:20" s="51" customFormat="1">
      <c r="A25" s="51">
        <f t="shared" si="0"/>
        <v>23</v>
      </c>
      <c r="B25" s="109">
        <v>11</v>
      </c>
      <c r="C25" s="51">
        <v>22104.579015439998</v>
      </c>
      <c r="D25" s="51">
        <v>1098171629.3399999</v>
      </c>
      <c r="E25" s="109">
        <v>36</v>
      </c>
      <c r="F25" s="51">
        <v>28896.505323360001</v>
      </c>
      <c r="G25" s="51">
        <v>556279926.75329995</v>
      </c>
      <c r="H25" s="109">
        <v>17</v>
      </c>
      <c r="I25" s="51">
        <v>146046.3386748</v>
      </c>
      <c r="J25" s="51">
        <v>704163912.18700004</v>
      </c>
      <c r="K25" s="51">
        <v>5</v>
      </c>
      <c r="L25" s="51">
        <v>84725.361826260007</v>
      </c>
      <c r="M25" s="51">
        <v>870345785.51999998</v>
      </c>
      <c r="N25" s="51">
        <v>31</v>
      </c>
      <c r="O25" s="51">
        <v>61376.121865460002</v>
      </c>
      <c r="P25" s="51">
        <v>351086715.21740001</v>
      </c>
      <c r="Q25" s="51">
        <v>30</v>
      </c>
      <c r="R25" s="51">
        <v>89081.329094169996</v>
      </c>
      <c r="S25" s="51">
        <v>803962944.00320005</v>
      </c>
    </row>
    <row r="26" spans="1:20" s="51" customFormat="1">
      <c r="A26" s="51">
        <f t="shared" si="0"/>
        <v>24</v>
      </c>
      <c r="B26" s="109">
        <v>11</v>
      </c>
      <c r="C26" s="51">
        <v>22104.579015439998</v>
      </c>
      <c r="D26" s="51">
        <v>1098171629.3399999</v>
      </c>
      <c r="E26" s="109">
        <v>36</v>
      </c>
      <c r="F26" s="51">
        <v>28896.505323360001</v>
      </c>
      <c r="G26" s="51">
        <v>556279926.75329995</v>
      </c>
      <c r="H26" s="109">
        <v>17</v>
      </c>
      <c r="I26" s="51">
        <v>146046.3386748</v>
      </c>
      <c r="J26" s="51">
        <v>704163912.18700004</v>
      </c>
      <c r="K26" s="51">
        <v>5</v>
      </c>
      <c r="L26" s="51">
        <v>84725.361826260007</v>
      </c>
      <c r="M26" s="51">
        <v>870345785.51999998</v>
      </c>
      <c r="N26" s="51">
        <v>31</v>
      </c>
      <c r="O26" s="51">
        <v>61376.121865460002</v>
      </c>
      <c r="P26" s="51">
        <v>351086715.21740001</v>
      </c>
      <c r="Q26" s="51">
        <v>30</v>
      </c>
      <c r="R26" s="51">
        <v>89081.329094169996</v>
      </c>
      <c r="S26" s="51">
        <v>803962944.00320005</v>
      </c>
    </row>
    <row r="27" spans="1:20" s="51" customFormat="1">
      <c r="A27" s="51">
        <f t="shared" si="0"/>
        <v>25</v>
      </c>
      <c r="B27" s="109">
        <v>11</v>
      </c>
      <c r="C27" s="51">
        <v>22104.579015439998</v>
      </c>
      <c r="D27" s="51">
        <v>1098171629.3399999</v>
      </c>
      <c r="E27" s="109">
        <v>36</v>
      </c>
      <c r="F27" s="51">
        <v>28896.505323360001</v>
      </c>
      <c r="G27" s="51">
        <v>556279926.75329995</v>
      </c>
      <c r="H27" s="109">
        <v>17</v>
      </c>
      <c r="I27" s="51">
        <v>146046.3386748</v>
      </c>
      <c r="J27" s="51">
        <v>704163912.18700004</v>
      </c>
      <c r="K27" s="51">
        <v>5</v>
      </c>
      <c r="L27" s="51">
        <v>84725.361826260007</v>
      </c>
      <c r="M27" s="51">
        <v>870345785.51999998</v>
      </c>
      <c r="N27" s="51">
        <v>31</v>
      </c>
      <c r="O27" s="51">
        <v>61376.121865460002</v>
      </c>
      <c r="P27" s="51">
        <v>351086715.21740001</v>
      </c>
      <c r="Q27" s="109">
        <v>30</v>
      </c>
      <c r="R27" s="51">
        <v>89081.329094169996</v>
      </c>
      <c r="S27" s="51">
        <v>803962944.00320005</v>
      </c>
    </row>
    <row r="28" spans="1:20" s="51" customFormat="1">
      <c r="A28" s="51">
        <f t="shared" si="0"/>
        <v>26</v>
      </c>
      <c r="B28" s="109">
        <v>11</v>
      </c>
      <c r="C28" s="51">
        <v>22104.579015439998</v>
      </c>
      <c r="D28" s="51">
        <v>1098171629.3399999</v>
      </c>
      <c r="E28" s="109">
        <v>36</v>
      </c>
      <c r="F28" s="51">
        <v>28896.505323360001</v>
      </c>
      <c r="G28" s="51">
        <v>556279926.75329995</v>
      </c>
      <c r="H28" s="109">
        <v>17</v>
      </c>
      <c r="I28" s="51">
        <v>146046.3386748</v>
      </c>
      <c r="J28" s="51">
        <v>704163912.18700004</v>
      </c>
      <c r="K28" s="51">
        <v>5</v>
      </c>
      <c r="L28" s="51">
        <v>84725.361826260007</v>
      </c>
      <c r="M28" s="51">
        <v>870345785.51999998</v>
      </c>
      <c r="N28" s="51">
        <v>31</v>
      </c>
      <c r="O28" s="51">
        <v>61376.121865460002</v>
      </c>
      <c r="P28" s="51">
        <v>351086715.21740001</v>
      </c>
      <c r="Q28" s="109">
        <v>30</v>
      </c>
      <c r="R28" s="51">
        <v>89081.329094169996</v>
      </c>
      <c r="S28" s="51">
        <v>803962944.00320005</v>
      </c>
    </row>
    <row r="29" spans="1:20" s="51" customFormat="1">
      <c r="A29" s="51">
        <f t="shared" si="0"/>
        <v>27</v>
      </c>
      <c r="B29" s="109">
        <v>11</v>
      </c>
      <c r="C29" s="51">
        <v>22104.579015439998</v>
      </c>
      <c r="D29" s="51">
        <v>1098171629.3399999</v>
      </c>
      <c r="E29" s="109">
        <v>36</v>
      </c>
      <c r="F29" s="51">
        <v>28896.505323360001</v>
      </c>
      <c r="G29" s="51">
        <v>556279926.75329995</v>
      </c>
      <c r="H29" s="109">
        <v>17</v>
      </c>
      <c r="I29" s="51">
        <v>146046.3386748</v>
      </c>
      <c r="J29" s="51">
        <v>704163912.18700004</v>
      </c>
      <c r="K29" s="51">
        <v>5</v>
      </c>
      <c r="L29" s="51">
        <v>84725.361826260007</v>
      </c>
      <c r="M29" s="51">
        <v>870345785.51999998</v>
      </c>
      <c r="N29" s="51">
        <v>31</v>
      </c>
      <c r="O29" s="51">
        <v>61376.121865460002</v>
      </c>
      <c r="P29" s="51">
        <v>351086715.21740001</v>
      </c>
      <c r="Q29" s="109">
        <v>30</v>
      </c>
      <c r="R29" s="51">
        <v>89081.329094169996</v>
      </c>
      <c r="S29" s="51">
        <v>803962944.00320005</v>
      </c>
    </row>
    <row r="30" spans="1:20" s="51" customFormat="1">
      <c r="A30" s="51">
        <f t="shared" si="0"/>
        <v>28</v>
      </c>
      <c r="B30" s="109">
        <v>11</v>
      </c>
      <c r="C30" s="51">
        <v>22104.579015439998</v>
      </c>
      <c r="D30" s="51">
        <v>1098171629.3399999</v>
      </c>
      <c r="E30" s="109">
        <v>36</v>
      </c>
      <c r="F30" s="51">
        <v>28896.505323360001</v>
      </c>
      <c r="G30" s="51">
        <v>556279926.75329995</v>
      </c>
      <c r="H30" s="109">
        <v>17</v>
      </c>
      <c r="I30" s="51">
        <v>146046.3386748</v>
      </c>
      <c r="J30" s="51">
        <v>704163912.18700004</v>
      </c>
      <c r="K30" s="51">
        <v>5</v>
      </c>
      <c r="L30" s="51">
        <v>84725.361826260007</v>
      </c>
      <c r="M30" s="51">
        <v>870345785.51999998</v>
      </c>
      <c r="N30" s="51">
        <v>31</v>
      </c>
      <c r="O30" s="51">
        <v>61376.121865460002</v>
      </c>
      <c r="P30" s="51">
        <v>351086715.21740001</v>
      </c>
      <c r="Q30" s="109">
        <v>30</v>
      </c>
      <c r="R30" s="51">
        <v>89081.329094169996</v>
      </c>
      <c r="S30" s="51">
        <v>803962944.00320005</v>
      </c>
    </row>
    <row r="31" spans="1:20" s="51" customFormat="1">
      <c r="A31" s="51">
        <f t="shared" si="0"/>
        <v>29</v>
      </c>
      <c r="B31" s="109">
        <v>11</v>
      </c>
      <c r="C31" s="51">
        <v>22104.579015439998</v>
      </c>
      <c r="D31" s="51">
        <v>1098171629.3399999</v>
      </c>
      <c r="E31" s="109">
        <v>36</v>
      </c>
      <c r="F31" s="51">
        <v>28896.505323360001</v>
      </c>
      <c r="G31" s="51">
        <v>556279926.75329995</v>
      </c>
      <c r="H31" s="109">
        <v>17</v>
      </c>
      <c r="I31" s="51">
        <v>146046.3386748</v>
      </c>
      <c r="J31" s="51">
        <v>704163912.18700004</v>
      </c>
      <c r="K31" s="51">
        <v>5</v>
      </c>
      <c r="L31" s="51">
        <v>84725.361826260007</v>
      </c>
      <c r="M31" s="51">
        <v>870345785.51999998</v>
      </c>
      <c r="N31" s="51">
        <v>31</v>
      </c>
      <c r="O31" s="51">
        <v>61376.121865460002</v>
      </c>
      <c r="P31" s="51">
        <v>351086715.21740001</v>
      </c>
      <c r="Q31" s="109">
        <v>30</v>
      </c>
      <c r="R31" s="51">
        <v>89081.329094169996</v>
      </c>
      <c r="S31" s="51">
        <v>803962944.00320005</v>
      </c>
    </row>
    <row r="32" spans="1:20" s="51" customFormat="1">
      <c r="A32" s="51">
        <f t="shared" si="0"/>
        <v>30</v>
      </c>
      <c r="B32" s="109">
        <v>11</v>
      </c>
      <c r="C32" s="51">
        <v>22104.579015439998</v>
      </c>
      <c r="D32" s="51">
        <v>1098171629.3399999</v>
      </c>
      <c r="E32" s="109">
        <v>36</v>
      </c>
      <c r="F32" s="51">
        <v>28896.505323360001</v>
      </c>
      <c r="G32" s="51">
        <v>556279926.75329995</v>
      </c>
      <c r="H32" s="109">
        <v>17</v>
      </c>
      <c r="I32" s="51">
        <v>146046.3386748</v>
      </c>
      <c r="J32" s="51">
        <v>704163912.18700004</v>
      </c>
      <c r="K32" s="51">
        <v>5</v>
      </c>
      <c r="L32" s="51">
        <v>84725.361826260007</v>
      </c>
      <c r="M32" s="51">
        <v>870345785.51999998</v>
      </c>
      <c r="N32" s="51">
        <v>31</v>
      </c>
      <c r="O32" s="51">
        <v>61376.121865460002</v>
      </c>
      <c r="P32" s="51">
        <v>351086715.21740001</v>
      </c>
      <c r="Q32" s="109">
        <v>30</v>
      </c>
      <c r="R32" s="51">
        <v>89081.329094169996</v>
      </c>
      <c r="S32" s="51">
        <v>803962944.00320005</v>
      </c>
    </row>
    <row r="33" spans="1:19" s="51" customFormat="1">
      <c r="A33" s="51">
        <f t="shared" si="0"/>
        <v>31</v>
      </c>
      <c r="B33" s="109">
        <v>11</v>
      </c>
      <c r="C33" s="51">
        <v>22104.579015439998</v>
      </c>
      <c r="D33" s="51">
        <v>1098171629.3399999</v>
      </c>
      <c r="E33" s="109">
        <v>36</v>
      </c>
      <c r="F33" s="51">
        <v>28896.505323360001</v>
      </c>
      <c r="G33" s="51">
        <v>556279926.75329995</v>
      </c>
      <c r="H33" s="109">
        <v>17</v>
      </c>
      <c r="I33" s="51">
        <v>146046.3386748</v>
      </c>
      <c r="J33" s="51">
        <v>704163912.18700004</v>
      </c>
      <c r="K33" s="51">
        <v>5</v>
      </c>
      <c r="L33" s="51">
        <v>84725.361826260007</v>
      </c>
      <c r="M33" s="51">
        <v>870345785.51999998</v>
      </c>
      <c r="N33" s="51">
        <v>31</v>
      </c>
      <c r="O33" s="51">
        <v>61376.121865460002</v>
      </c>
      <c r="P33" s="51">
        <v>351086715.21740001</v>
      </c>
      <c r="Q33" s="109">
        <v>30</v>
      </c>
      <c r="R33" s="51">
        <v>89081.329094169996</v>
      </c>
      <c r="S33" s="51">
        <v>803962944.00320005</v>
      </c>
    </row>
    <row r="34" spans="1:19" s="51" customFormat="1">
      <c r="A34" s="51">
        <f t="shared" si="0"/>
        <v>32</v>
      </c>
      <c r="B34" s="109">
        <v>11</v>
      </c>
      <c r="C34" s="51">
        <v>22104.579015439998</v>
      </c>
      <c r="D34" s="51">
        <v>1098171629.3399999</v>
      </c>
      <c r="E34" s="109">
        <v>36</v>
      </c>
      <c r="F34" s="51">
        <v>28896.505323360001</v>
      </c>
      <c r="G34" s="51">
        <v>556279926.75329995</v>
      </c>
      <c r="H34" s="109">
        <v>17</v>
      </c>
      <c r="I34" s="51">
        <v>146046.3386748</v>
      </c>
      <c r="J34" s="51">
        <v>704163912.18700004</v>
      </c>
      <c r="K34" s="51">
        <v>5</v>
      </c>
      <c r="L34" s="51">
        <v>84725.361826260007</v>
      </c>
      <c r="M34" s="51">
        <v>870345785.51999998</v>
      </c>
      <c r="N34" s="51">
        <v>31</v>
      </c>
      <c r="O34" s="51">
        <v>61376.121865460002</v>
      </c>
      <c r="P34" s="51">
        <v>351086715.21740001</v>
      </c>
      <c r="Q34" s="109">
        <v>30</v>
      </c>
      <c r="R34" s="51">
        <v>89081.329094169996</v>
      </c>
      <c r="S34" s="51">
        <v>803962944.00320005</v>
      </c>
    </row>
    <row r="35" spans="1:19" s="51" customFormat="1">
      <c r="A35" s="51">
        <f t="shared" si="0"/>
        <v>33</v>
      </c>
      <c r="B35" s="147">
        <v>11</v>
      </c>
      <c r="C35" s="51">
        <v>22104.579015439998</v>
      </c>
      <c r="D35" s="51">
        <v>1098171629.3399999</v>
      </c>
      <c r="E35" s="135">
        <v>36</v>
      </c>
      <c r="F35" s="51">
        <v>28896.505323360001</v>
      </c>
      <c r="G35" s="51">
        <v>556279926.75329995</v>
      </c>
      <c r="H35" s="109">
        <v>17</v>
      </c>
      <c r="I35" s="51">
        <v>146046.3386748</v>
      </c>
      <c r="J35" s="51">
        <v>704163912.18700004</v>
      </c>
      <c r="K35" s="51">
        <v>5</v>
      </c>
      <c r="L35" s="51">
        <v>84725.361826260007</v>
      </c>
      <c r="M35" s="51">
        <v>870345785.51999998</v>
      </c>
      <c r="N35" s="51">
        <v>31</v>
      </c>
      <c r="O35" s="51">
        <v>61376.121865460002</v>
      </c>
      <c r="P35" s="51">
        <v>351086715.21740001</v>
      </c>
      <c r="Q35" s="109">
        <v>30</v>
      </c>
      <c r="R35" s="51">
        <v>89081.329094169996</v>
      </c>
      <c r="S35" s="51">
        <v>803962944.00320005</v>
      </c>
    </row>
    <row r="36" spans="1:19" s="51" customFormat="1">
      <c r="A36" s="51">
        <f t="shared" si="0"/>
        <v>34</v>
      </c>
      <c r="B36" s="148">
        <v>11</v>
      </c>
      <c r="C36" s="51">
        <v>22104.579015439998</v>
      </c>
      <c r="D36" s="51">
        <v>1098171629.3399999</v>
      </c>
      <c r="E36" s="109">
        <v>36</v>
      </c>
      <c r="F36" s="51">
        <v>28896.505323360001</v>
      </c>
      <c r="G36" s="51">
        <v>556279926.75329995</v>
      </c>
      <c r="H36" s="109">
        <v>17</v>
      </c>
      <c r="I36" s="51">
        <v>146046.3386748</v>
      </c>
      <c r="J36" s="51">
        <v>704163912.18700004</v>
      </c>
      <c r="K36" s="51">
        <v>5</v>
      </c>
      <c r="L36" s="51">
        <v>84725.361826260007</v>
      </c>
      <c r="M36" s="51">
        <v>870345785.51999998</v>
      </c>
      <c r="N36" s="51">
        <v>31</v>
      </c>
      <c r="O36" s="51">
        <v>61376.121865460002</v>
      </c>
      <c r="P36" s="51">
        <v>351086715.21740001</v>
      </c>
      <c r="Q36" s="109">
        <v>30</v>
      </c>
      <c r="R36" s="51">
        <v>89081.329094169996</v>
      </c>
      <c r="S36" s="51">
        <v>803962944.00320005</v>
      </c>
    </row>
    <row r="37" spans="1:19" s="51" customFormat="1">
      <c r="A37" s="51">
        <f t="shared" si="0"/>
        <v>35</v>
      </c>
      <c r="B37" s="49">
        <v>11.34999999999998</v>
      </c>
      <c r="C37" s="51">
        <v>22104.579015439998</v>
      </c>
      <c r="D37" s="51">
        <v>1098171629.3399999</v>
      </c>
      <c r="E37" s="51">
        <v>36</v>
      </c>
      <c r="F37" s="51">
        <v>28896.505323360001</v>
      </c>
      <c r="G37" s="51">
        <v>556279926.75329995</v>
      </c>
      <c r="H37" s="51">
        <v>17</v>
      </c>
      <c r="I37" s="51">
        <v>146046.3386748</v>
      </c>
      <c r="J37" s="51">
        <v>704163912.18700004</v>
      </c>
      <c r="K37" s="51">
        <v>5</v>
      </c>
      <c r="L37" s="51">
        <v>84725.361826260007</v>
      </c>
      <c r="M37" s="51">
        <v>870345785.51999998</v>
      </c>
      <c r="N37" s="51">
        <v>31</v>
      </c>
      <c r="O37" s="51">
        <v>61376.121865460002</v>
      </c>
      <c r="P37" s="51">
        <v>351086715.21740001</v>
      </c>
      <c r="Q37" s="109">
        <v>30</v>
      </c>
      <c r="R37" s="51">
        <v>89081.329094169996</v>
      </c>
      <c r="S37" s="51">
        <v>803962944.00320005</v>
      </c>
    </row>
    <row r="38" spans="1:19" s="51" customFormat="1">
      <c r="A38" s="51">
        <f t="shared" si="0"/>
        <v>36</v>
      </c>
      <c r="B38" s="51">
        <v>18</v>
      </c>
      <c r="C38" s="51">
        <v>25557.020001109999</v>
      </c>
      <c r="D38" s="51">
        <v>1203540666.5380001</v>
      </c>
      <c r="E38" s="51">
        <v>36</v>
      </c>
      <c r="F38" s="51">
        <v>28896.505323360001</v>
      </c>
      <c r="G38" s="51">
        <v>556279926.75329995</v>
      </c>
      <c r="H38" s="51">
        <v>17</v>
      </c>
      <c r="I38" s="51">
        <v>146046.3386748</v>
      </c>
      <c r="J38" s="51">
        <v>704163912.18700004</v>
      </c>
      <c r="K38" s="51">
        <v>5</v>
      </c>
      <c r="L38" s="51">
        <v>84725.361826260007</v>
      </c>
      <c r="M38" s="51">
        <v>870345785.51999998</v>
      </c>
      <c r="N38" s="51">
        <v>31</v>
      </c>
      <c r="O38" s="51">
        <v>61376.121865460002</v>
      </c>
      <c r="P38" s="51">
        <v>351086715.21740001</v>
      </c>
      <c r="Q38" s="109">
        <v>30</v>
      </c>
      <c r="R38" s="51">
        <v>89081.329094169996</v>
      </c>
      <c r="S38" s="51">
        <v>803962944.00320005</v>
      </c>
    </row>
    <row r="39" spans="1:19" s="51" customFormat="1">
      <c r="A39" s="51">
        <f t="shared" si="0"/>
        <v>37</v>
      </c>
      <c r="B39" s="51">
        <v>18</v>
      </c>
      <c r="C39" s="51">
        <v>25557.020001109999</v>
      </c>
      <c r="D39" s="51">
        <v>1203540666.5380001</v>
      </c>
      <c r="E39" s="51">
        <v>36</v>
      </c>
      <c r="F39" s="51">
        <v>28896.505323360001</v>
      </c>
      <c r="G39" s="51">
        <v>556279926.75329995</v>
      </c>
      <c r="H39" s="51">
        <v>17</v>
      </c>
      <c r="I39" s="51">
        <v>146046.3386748</v>
      </c>
      <c r="J39" s="51">
        <v>704163912.18700004</v>
      </c>
      <c r="K39" s="51">
        <v>5</v>
      </c>
      <c r="L39" s="51">
        <v>84725.361826260007</v>
      </c>
      <c r="M39" s="51">
        <v>870345785.51999998</v>
      </c>
      <c r="N39" s="51">
        <v>31</v>
      </c>
      <c r="O39" s="51">
        <v>61376.121865460002</v>
      </c>
      <c r="P39" s="51">
        <v>351086715.21740001</v>
      </c>
      <c r="Q39" s="109">
        <v>30</v>
      </c>
      <c r="R39" s="51">
        <v>89081.329094169996</v>
      </c>
      <c r="S39" s="51">
        <v>803962944.00320005</v>
      </c>
    </row>
    <row r="40" spans="1:19" s="51" customFormat="1">
      <c r="A40" s="51">
        <f t="shared" si="0"/>
        <v>38</v>
      </c>
      <c r="B40" s="51">
        <v>18</v>
      </c>
      <c r="C40" s="51">
        <v>25557.020001109999</v>
      </c>
      <c r="D40" s="51">
        <v>1203540666.5380001</v>
      </c>
      <c r="E40" s="51">
        <v>36</v>
      </c>
      <c r="F40" s="51">
        <v>28896.505323360001</v>
      </c>
      <c r="G40" s="51">
        <v>556279926.75329995</v>
      </c>
      <c r="H40" s="149">
        <v>17</v>
      </c>
      <c r="I40" s="51">
        <v>146046.3386748</v>
      </c>
      <c r="J40" s="51">
        <v>704163912.18700004</v>
      </c>
      <c r="K40" s="51">
        <v>5</v>
      </c>
      <c r="L40" s="51">
        <v>84725.361826260007</v>
      </c>
      <c r="M40" s="51">
        <v>870345785.51999998</v>
      </c>
      <c r="N40" s="51">
        <v>31</v>
      </c>
      <c r="O40" s="51">
        <v>61376.121865460002</v>
      </c>
      <c r="P40" s="51">
        <v>351086715.21740001</v>
      </c>
      <c r="Q40" s="109">
        <v>30</v>
      </c>
      <c r="R40" s="51">
        <v>89081.329094169996</v>
      </c>
      <c r="S40" s="51">
        <v>803962944.00320005</v>
      </c>
    </row>
    <row r="41" spans="1:19" s="51" customFormat="1">
      <c r="A41" s="51">
        <f t="shared" si="0"/>
        <v>39</v>
      </c>
      <c r="B41" s="51">
        <v>18</v>
      </c>
      <c r="C41" s="51">
        <v>25557.020001109999</v>
      </c>
      <c r="D41" s="51">
        <v>1203540666.5380001</v>
      </c>
      <c r="E41" s="51">
        <v>36</v>
      </c>
      <c r="F41" s="51">
        <v>28896.505323360001</v>
      </c>
      <c r="G41" s="51">
        <v>556279926.75329995</v>
      </c>
      <c r="H41" s="49">
        <v>24</v>
      </c>
      <c r="I41" s="51">
        <v>150334.45752329999</v>
      </c>
      <c r="J41" s="109">
        <v>712322494.26030004</v>
      </c>
      <c r="K41" s="51">
        <v>5</v>
      </c>
      <c r="L41" s="51">
        <v>84725.361826260007</v>
      </c>
      <c r="M41" s="51">
        <v>870345785.51999998</v>
      </c>
      <c r="N41" s="51">
        <v>31</v>
      </c>
      <c r="O41" s="51">
        <v>61376.121865460002</v>
      </c>
      <c r="P41" s="51">
        <v>351086715.21740001</v>
      </c>
      <c r="Q41" s="109">
        <v>30</v>
      </c>
      <c r="R41" s="51">
        <v>89081.329094169996</v>
      </c>
      <c r="S41" s="51">
        <v>803962944.00320005</v>
      </c>
    </row>
    <row r="42" spans="1:19" s="51" customFormat="1">
      <c r="A42" s="51">
        <f t="shared" si="0"/>
        <v>40</v>
      </c>
      <c r="B42" s="51">
        <v>18</v>
      </c>
      <c r="C42" s="51">
        <v>25557.020001109999</v>
      </c>
      <c r="D42" s="51">
        <v>1203540666.5380001</v>
      </c>
      <c r="E42" s="51">
        <v>36</v>
      </c>
      <c r="F42" s="51">
        <v>28896.505323360001</v>
      </c>
      <c r="G42" s="51">
        <v>556279926.75329995</v>
      </c>
      <c r="H42" s="51">
        <v>24</v>
      </c>
      <c r="I42" s="51">
        <v>150334.45752329999</v>
      </c>
      <c r="J42" s="109">
        <v>712322494.26030004</v>
      </c>
      <c r="K42" s="51">
        <v>5</v>
      </c>
      <c r="L42" s="51">
        <v>84725.361826260007</v>
      </c>
      <c r="M42" s="51">
        <v>870345785.51999998</v>
      </c>
      <c r="N42" s="51">
        <v>31</v>
      </c>
      <c r="O42" s="51">
        <v>61376.121865460002</v>
      </c>
      <c r="P42" s="51">
        <v>351086715.21740001</v>
      </c>
      <c r="Q42" s="51">
        <v>30</v>
      </c>
      <c r="R42" s="51">
        <v>89081.329094169996</v>
      </c>
      <c r="S42" s="51">
        <v>803962944.00320005</v>
      </c>
    </row>
    <row r="43" spans="1:19" s="51" customFormat="1">
      <c r="A43" s="51">
        <f t="shared" si="0"/>
        <v>41</v>
      </c>
      <c r="B43" s="51">
        <v>18</v>
      </c>
      <c r="C43" s="51">
        <v>25557.020001109999</v>
      </c>
      <c r="D43" s="51">
        <v>1203540666.5380001</v>
      </c>
      <c r="E43" s="51">
        <v>36</v>
      </c>
      <c r="F43" s="51">
        <v>28896.505323360001</v>
      </c>
      <c r="G43" s="51">
        <v>556279926.75329995</v>
      </c>
      <c r="H43" s="51">
        <v>24</v>
      </c>
      <c r="I43" s="51">
        <v>150334.45752329999</v>
      </c>
      <c r="J43" s="109">
        <v>712322494.26030004</v>
      </c>
      <c r="K43" s="51">
        <v>5</v>
      </c>
      <c r="L43" s="51">
        <v>84725.361826260007</v>
      </c>
      <c r="M43" s="51">
        <v>870345785.51999998</v>
      </c>
      <c r="N43" s="51">
        <v>31</v>
      </c>
      <c r="O43" s="51">
        <v>61376.121865460002</v>
      </c>
      <c r="P43" s="51">
        <v>351086715.21740001</v>
      </c>
      <c r="Q43" s="51">
        <v>30</v>
      </c>
      <c r="R43" s="51">
        <v>89081.329094169996</v>
      </c>
      <c r="S43" s="51">
        <v>803962944.00320005</v>
      </c>
    </row>
    <row r="44" spans="1:19" s="51" customFormat="1">
      <c r="A44" s="51">
        <f t="shared" si="0"/>
        <v>42</v>
      </c>
      <c r="B44" s="51">
        <v>18</v>
      </c>
      <c r="C44" s="51">
        <v>25557.020001109999</v>
      </c>
      <c r="D44" s="51">
        <v>1203540666.5380001</v>
      </c>
      <c r="E44" s="51">
        <v>36</v>
      </c>
      <c r="F44" s="51">
        <v>28896.505323360001</v>
      </c>
      <c r="G44" s="51">
        <v>556279926.75329995</v>
      </c>
      <c r="H44" s="51">
        <v>24</v>
      </c>
      <c r="I44" s="51">
        <v>150334.45752329999</v>
      </c>
      <c r="J44" s="109">
        <v>712322494.26030004</v>
      </c>
      <c r="K44" s="51">
        <v>5</v>
      </c>
      <c r="L44" s="51">
        <v>84725.361826260007</v>
      </c>
      <c r="M44" s="51">
        <v>870345785.51999998</v>
      </c>
      <c r="N44" s="51">
        <v>31</v>
      </c>
      <c r="O44" s="51">
        <v>61376.121865460002</v>
      </c>
      <c r="P44" s="51">
        <v>351086715.21740001</v>
      </c>
      <c r="Q44" s="51">
        <v>30</v>
      </c>
      <c r="R44" s="51">
        <v>89081.329094169996</v>
      </c>
      <c r="S44" s="51">
        <v>803962944.00320005</v>
      </c>
    </row>
    <row r="45" spans="1:19" s="51" customFormat="1">
      <c r="A45" s="51">
        <f t="shared" si="0"/>
        <v>43</v>
      </c>
      <c r="B45" s="51">
        <v>18</v>
      </c>
      <c r="C45" s="51">
        <v>25557.020001109999</v>
      </c>
      <c r="D45" s="51">
        <v>1203540666.5380001</v>
      </c>
      <c r="E45" s="51">
        <v>36</v>
      </c>
      <c r="F45" s="51">
        <v>28896.505323360001</v>
      </c>
      <c r="G45" s="51">
        <v>556279926.75329995</v>
      </c>
      <c r="H45" s="51">
        <v>24</v>
      </c>
      <c r="I45" s="51">
        <v>150334.45752329999</v>
      </c>
      <c r="J45" s="109">
        <v>712322494.26030004</v>
      </c>
      <c r="K45" s="51">
        <v>5</v>
      </c>
      <c r="L45" s="51">
        <v>84725.361826260007</v>
      </c>
      <c r="M45" s="51">
        <v>870345785.51999998</v>
      </c>
      <c r="N45" s="51">
        <v>31</v>
      </c>
      <c r="O45" s="51">
        <v>61376.121865460002</v>
      </c>
      <c r="P45" s="51">
        <v>351086715.21740001</v>
      </c>
      <c r="Q45" s="146">
        <v>32.3599999999999</v>
      </c>
      <c r="R45" s="51">
        <v>89565.036491880004</v>
      </c>
      <c r="S45" s="51">
        <v>789983081.59140003</v>
      </c>
    </row>
    <row r="46" spans="1:19" s="51" customFormat="1">
      <c r="A46" s="51">
        <f t="shared" si="0"/>
        <v>44</v>
      </c>
      <c r="B46" s="51">
        <v>18</v>
      </c>
      <c r="C46" s="51">
        <v>25557.020001109999</v>
      </c>
      <c r="D46" s="51">
        <v>1203540666.5380001</v>
      </c>
      <c r="E46" s="49">
        <v>36.639999999999986</v>
      </c>
      <c r="F46" s="51">
        <v>28441.478657790001</v>
      </c>
      <c r="G46" s="51">
        <v>550424826.40369999</v>
      </c>
      <c r="H46" s="51">
        <v>24</v>
      </c>
      <c r="I46" s="51">
        <v>150334.45752329999</v>
      </c>
      <c r="J46" s="109">
        <v>712322494.26030004</v>
      </c>
      <c r="K46" s="51">
        <v>5</v>
      </c>
      <c r="L46" s="51">
        <v>84725.361826260007</v>
      </c>
      <c r="M46" s="51">
        <v>870345785.51999998</v>
      </c>
      <c r="N46" s="51">
        <v>31</v>
      </c>
      <c r="O46" s="51">
        <v>61376.121865460002</v>
      </c>
      <c r="P46" s="51">
        <v>351086715.21740001</v>
      </c>
      <c r="Q46" s="51">
        <v>89</v>
      </c>
      <c r="R46" s="51">
        <v>96064.251200040002</v>
      </c>
      <c r="S46" s="51">
        <v>600283376.81200004</v>
      </c>
    </row>
    <row r="47" spans="1:19" s="51" customFormat="1">
      <c r="A47" s="51">
        <f t="shared" si="0"/>
        <v>45</v>
      </c>
      <c r="B47" s="51">
        <v>18</v>
      </c>
      <c r="C47" s="51">
        <v>25557.020001109999</v>
      </c>
      <c r="D47" s="51">
        <v>1203540666.5380001</v>
      </c>
      <c r="E47" s="51">
        <v>44</v>
      </c>
      <c r="F47" s="51">
        <v>25619.28424397</v>
      </c>
      <c r="G47" s="51">
        <v>513969215.2112</v>
      </c>
      <c r="H47" s="51">
        <v>24</v>
      </c>
      <c r="I47" s="51">
        <v>150334.45752329999</v>
      </c>
      <c r="J47" s="109">
        <v>712322494.26030004</v>
      </c>
      <c r="K47" s="51">
        <v>5</v>
      </c>
      <c r="L47" s="51">
        <v>84725.361826260007</v>
      </c>
      <c r="M47" s="51">
        <v>870345785.51999998</v>
      </c>
      <c r="N47" s="51">
        <v>31</v>
      </c>
      <c r="O47" s="51">
        <v>61376.121865460002</v>
      </c>
      <c r="P47" s="51">
        <v>351086715.21740001</v>
      </c>
      <c r="Q47" s="51">
        <v>89</v>
      </c>
      <c r="R47" s="51">
        <v>96064.251200040002</v>
      </c>
      <c r="S47" s="51">
        <v>600283376.81200004</v>
      </c>
    </row>
    <row r="48" spans="1:19" s="51" customFormat="1">
      <c r="A48" s="51">
        <f t="shared" si="0"/>
        <v>46</v>
      </c>
      <c r="B48" s="51">
        <v>18</v>
      </c>
      <c r="C48" s="51">
        <v>25557.020001109999</v>
      </c>
      <c r="D48" s="51">
        <v>1203540666.5380001</v>
      </c>
      <c r="E48" s="51">
        <v>44</v>
      </c>
      <c r="F48" s="51">
        <v>25619.28424397</v>
      </c>
      <c r="G48" s="51">
        <v>513969215.2112</v>
      </c>
      <c r="H48" s="51">
        <v>24</v>
      </c>
      <c r="I48" s="51">
        <v>150334.45752329999</v>
      </c>
      <c r="J48" s="109">
        <v>712322494.26030004</v>
      </c>
      <c r="K48" s="149">
        <v>5</v>
      </c>
      <c r="L48" s="51">
        <v>84725.361826260007</v>
      </c>
      <c r="M48" s="51">
        <v>870345785.51999998</v>
      </c>
      <c r="N48" s="51">
        <v>31</v>
      </c>
      <c r="O48" s="51">
        <v>61376.121865460002</v>
      </c>
      <c r="P48" s="51">
        <v>351086715.21740001</v>
      </c>
      <c r="Q48" s="51">
        <v>89</v>
      </c>
      <c r="R48" s="51">
        <v>96064.251200040002</v>
      </c>
      <c r="S48" s="51">
        <v>600283376.81200004</v>
      </c>
    </row>
    <row r="49" spans="1:19" s="51" customFormat="1">
      <c r="A49" s="51">
        <f t="shared" si="0"/>
        <v>47</v>
      </c>
      <c r="B49" s="51">
        <v>18</v>
      </c>
      <c r="C49" s="51">
        <v>25557.020001109999</v>
      </c>
      <c r="D49" s="51">
        <v>1203540666.5380001</v>
      </c>
      <c r="E49" s="51">
        <v>44</v>
      </c>
      <c r="F49" s="51">
        <v>25619.28424397</v>
      </c>
      <c r="G49" s="51">
        <v>513969215.2112</v>
      </c>
      <c r="H49" s="51">
        <v>24</v>
      </c>
      <c r="I49" s="51">
        <v>150334.45752329999</v>
      </c>
      <c r="J49" s="109">
        <v>712322494.26030004</v>
      </c>
      <c r="K49" s="51">
        <v>5</v>
      </c>
      <c r="L49" s="51">
        <v>84725.361826260007</v>
      </c>
      <c r="M49" s="51">
        <v>870345785.51999998</v>
      </c>
      <c r="N49" s="51">
        <v>31</v>
      </c>
      <c r="O49" s="51">
        <v>61376.121865460002</v>
      </c>
      <c r="P49" s="51">
        <v>351086715.21740001</v>
      </c>
      <c r="Q49" s="51">
        <v>89</v>
      </c>
      <c r="R49" s="51">
        <v>96064.251200040002</v>
      </c>
      <c r="S49" s="51">
        <v>600283376.81200004</v>
      </c>
    </row>
    <row r="50" spans="1:19" s="51" customFormat="1">
      <c r="A50" s="51">
        <f t="shared" si="0"/>
        <v>48</v>
      </c>
      <c r="B50" s="49">
        <v>18</v>
      </c>
      <c r="C50" s="51">
        <v>25557.020001109999</v>
      </c>
      <c r="D50" s="51">
        <v>1203540666.5380001</v>
      </c>
      <c r="E50" s="49">
        <v>44</v>
      </c>
      <c r="F50" s="51">
        <v>25619.28424397</v>
      </c>
      <c r="G50" s="51">
        <v>513969215.2112</v>
      </c>
      <c r="H50" s="51">
        <v>24</v>
      </c>
      <c r="I50" s="51">
        <v>150334.45752329999</v>
      </c>
      <c r="J50" s="109">
        <v>712322494.26030004</v>
      </c>
      <c r="K50" s="49">
        <v>14.599999999999909</v>
      </c>
      <c r="L50" s="51">
        <v>89483.181811799994</v>
      </c>
      <c r="M50" s="51">
        <v>899566405.35640001</v>
      </c>
      <c r="N50" s="51">
        <v>31</v>
      </c>
      <c r="O50" s="51">
        <v>61376.121865460002</v>
      </c>
      <c r="P50" s="51">
        <v>351086715.21740001</v>
      </c>
      <c r="Q50" s="49">
        <v>89</v>
      </c>
      <c r="R50" s="51">
        <v>96064.251200040002</v>
      </c>
      <c r="S50" s="51">
        <v>600283376.81200004</v>
      </c>
    </row>
    <row r="51" spans="1:19" s="51" customFormat="1">
      <c r="A51" s="51">
        <f t="shared" si="0"/>
        <v>49</v>
      </c>
      <c r="B51" s="51">
        <v>29</v>
      </c>
      <c r="C51" s="51">
        <v>30091.492441310002</v>
      </c>
      <c r="D51" s="51">
        <v>1296174277.4590001</v>
      </c>
      <c r="E51" s="51">
        <v>44</v>
      </c>
      <c r="F51" s="51">
        <v>25619.28424397</v>
      </c>
      <c r="G51" s="51">
        <v>513969215.2112</v>
      </c>
      <c r="H51" s="51">
        <v>24</v>
      </c>
      <c r="I51" s="51">
        <v>150334.45752329999</v>
      </c>
      <c r="J51" s="109">
        <v>712322494.26030004</v>
      </c>
      <c r="K51" s="49">
        <v>21</v>
      </c>
      <c r="L51" s="51">
        <v>95747.775724520005</v>
      </c>
      <c r="M51" s="51">
        <v>905659028.2802</v>
      </c>
      <c r="N51" s="51">
        <v>31</v>
      </c>
      <c r="O51" s="51">
        <v>61376.121865460002</v>
      </c>
      <c r="P51" s="51">
        <v>351086715.21740001</v>
      </c>
      <c r="Q51" s="51">
        <v>89</v>
      </c>
      <c r="R51" s="51">
        <v>96064.251200040002</v>
      </c>
      <c r="S51" s="51">
        <v>600283376.81200004</v>
      </c>
    </row>
    <row r="52" spans="1:19" s="51" customFormat="1">
      <c r="A52" s="51">
        <f t="shared" si="0"/>
        <v>50</v>
      </c>
      <c r="B52" s="51">
        <v>29</v>
      </c>
      <c r="C52" s="51">
        <v>30091.492441310002</v>
      </c>
      <c r="D52" s="51">
        <v>1296174277.4590001</v>
      </c>
      <c r="E52" s="51">
        <v>44</v>
      </c>
      <c r="F52" s="51">
        <v>25619.28424397</v>
      </c>
      <c r="G52" s="51">
        <v>513969215.2112</v>
      </c>
      <c r="H52" s="51">
        <v>24</v>
      </c>
      <c r="I52" s="51">
        <v>150334.45752329999</v>
      </c>
      <c r="J52" s="109">
        <v>712322494.26030004</v>
      </c>
      <c r="K52" s="51">
        <v>21</v>
      </c>
      <c r="L52" s="51">
        <v>95747.775724520005</v>
      </c>
      <c r="M52" s="51">
        <v>905659028.2802</v>
      </c>
      <c r="N52" s="51">
        <v>31</v>
      </c>
      <c r="O52" s="51">
        <v>61376.121865460002</v>
      </c>
      <c r="P52" s="51">
        <v>351086715.21740001</v>
      </c>
      <c r="Q52" s="51">
        <v>89</v>
      </c>
      <c r="R52" s="51">
        <v>96064.251200040002</v>
      </c>
      <c r="S52" s="51">
        <v>600283376.81200004</v>
      </c>
    </row>
    <row r="53" spans="1:19" s="51" customFormat="1">
      <c r="A53" s="51">
        <f t="shared" si="0"/>
        <v>51</v>
      </c>
      <c r="B53" s="51">
        <v>29</v>
      </c>
      <c r="C53" s="51">
        <v>30091.492441310002</v>
      </c>
      <c r="D53" s="51">
        <v>1296174277.4590001</v>
      </c>
      <c r="E53" s="51">
        <v>44</v>
      </c>
      <c r="F53" s="51">
        <v>25619.28424397</v>
      </c>
      <c r="G53" s="51">
        <v>513969215.2112</v>
      </c>
      <c r="H53" s="51">
        <v>24</v>
      </c>
      <c r="I53" s="51">
        <v>150334.45752329999</v>
      </c>
      <c r="J53" s="109">
        <v>712322494.26030004</v>
      </c>
      <c r="K53" s="51">
        <v>21</v>
      </c>
      <c r="L53" s="51">
        <v>95747.775724520005</v>
      </c>
      <c r="M53" s="51">
        <v>905659028.2802</v>
      </c>
      <c r="N53" s="51">
        <v>31</v>
      </c>
      <c r="O53" s="51">
        <v>61376.121865460002</v>
      </c>
      <c r="P53" s="51">
        <v>351086715.21740001</v>
      </c>
      <c r="Q53" s="51">
        <v>89</v>
      </c>
      <c r="R53" s="51">
        <v>96064.251200040002</v>
      </c>
      <c r="S53" s="51">
        <v>600283376.81200004</v>
      </c>
    </row>
    <row r="54" spans="1:19" s="51" customFormat="1">
      <c r="A54" s="51">
        <f t="shared" si="0"/>
        <v>52</v>
      </c>
      <c r="B54" s="51">
        <v>29</v>
      </c>
      <c r="C54" s="51">
        <v>30091.492441310002</v>
      </c>
      <c r="D54" s="51">
        <v>1296174277.4590001</v>
      </c>
      <c r="E54" s="51">
        <v>44</v>
      </c>
      <c r="F54" s="51">
        <v>25619.28424397</v>
      </c>
      <c r="G54" s="51">
        <v>513969215.2112</v>
      </c>
      <c r="H54" s="51">
        <v>24</v>
      </c>
      <c r="I54" s="51">
        <v>150334.45752329999</v>
      </c>
      <c r="J54" s="109">
        <v>712322494.26030004</v>
      </c>
      <c r="K54" s="51">
        <v>21</v>
      </c>
      <c r="L54" s="51">
        <v>95747.775724520005</v>
      </c>
      <c r="M54" s="51">
        <v>905659028.2802</v>
      </c>
      <c r="N54" s="51">
        <v>31</v>
      </c>
      <c r="O54" s="51">
        <v>61376.121865460002</v>
      </c>
      <c r="P54" s="51">
        <v>351086715.21740001</v>
      </c>
      <c r="Q54" s="51">
        <v>89</v>
      </c>
      <c r="R54" s="51">
        <v>96064.251200040002</v>
      </c>
      <c r="S54" s="51">
        <v>600283376.81200004</v>
      </c>
    </row>
    <row r="55" spans="1:19" s="51" customFormat="1">
      <c r="A55" s="51">
        <f t="shared" si="0"/>
        <v>53</v>
      </c>
      <c r="B55" s="51">
        <v>29</v>
      </c>
      <c r="C55" s="51">
        <v>30091.492441310002</v>
      </c>
      <c r="D55" s="51">
        <v>1296174277.4590001</v>
      </c>
      <c r="E55" s="51">
        <v>44</v>
      </c>
      <c r="F55" s="51">
        <v>25619.28424397</v>
      </c>
      <c r="G55" s="51">
        <v>513969215.2112</v>
      </c>
      <c r="H55" s="51">
        <v>24</v>
      </c>
      <c r="I55" s="51">
        <v>150334.45752329999</v>
      </c>
      <c r="J55" s="109">
        <v>712322494.26030004</v>
      </c>
      <c r="K55" s="51">
        <v>21</v>
      </c>
      <c r="L55" s="51">
        <v>95747.775724520005</v>
      </c>
      <c r="M55" s="51">
        <v>905659028.2802</v>
      </c>
      <c r="N55" s="51">
        <v>31</v>
      </c>
      <c r="O55" s="51">
        <v>61376.121865460002</v>
      </c>
      <c r="P55" s="51">
        <v>351086715.21740001</v>
      </c>
      <c r="Q55" s="51">
        <v>89</v>
      </c>
      <c r="R55" s="51">
        <v>96064.251200040002</v>
      </c>
      <c r="S55" s="51">
        <v>600283376.81200004</v>
      </c>
    </row>
    <row r="56" spans="1:19" s="51" customFormat="1">
      <c r="A56" s="51">
        <f t="shared" si="0"/>
        <v>54</v>
      </c>
      <c r="B56" s="51">
        <v>29</v>
      </c>
      <c r="C56" s="51">
        <v>30091.492441310002</v>
      </c>
      <c r="D56" s="51">
        <v>1296174277.4590001</v>
      </c>
      <c r="E56" s="51">
        <v>44</v>
      </c>
      <c r="F56" s="51">
        <v>25619.28424397</v>
      </c>
      <c r="G56" s="51">
        <v>513969215.2112</v>
      </c>
      <c r="H56" s="51">
        <v>24</v>
      </c>
      <c r="I56" s="51">
        <v>150334.45752329999</v>
      </c>
      <c r="J56" s="109">
        <v>712322494.26030004</v>
      </c>
      <c r="K56" s="51">
        <v>21</v>
      </c>
      <c r="L56" s="51">
        <v>95747.775724520005</v>
      </c>
      <c r="M56" s="51">
        <v>905659028.2802</v>
      </c>
      <c r="N56" s="51">
        <v>31</v>
      </c>
      <c r="O56" s="51">
        <v>61376.121865460002</v>
      </c>
      <c r="P56" s="51">
        <v>351086715.21740001</v>
      </c>
      <c r="Q56" s="51">
        <v>89</v>
      </c>
      <c r="R56" s="51">
        <v>96064.251200040002</v>
      </c>
      <c r="S56" s="51">
        <v>600283376.81200004</v>
      </c>
    </row>
    <row r="57" spans="1:19" s="51" customFormat="1">
      <c r="A57" s="51">
        <f t="shared" si="0"/>
        <v>55</v>
      </c>
      <c r="B57" s="51">
        <v>29</v>
      </c>
      <c r="C57" s="51">
        <v>30091.492441310002</v>
      </c>
      <c r="D57" s="51">
        <v>1296174277.4590001</v>
      </c>
      <c r="E57" s="51">
        <v>44</v>
      </c>
      <c r="F57" s="51">
        <v>25619.28424397</v>
      </c>
      <c r="G57" s="51">
        <v>513969215.2112</v>
      </c>
      <c r="H57" s="51">
        <v>61</v>
      </c>
      <c r="I57" s="51">
        <v>146128.71424890001</v>
      </c>
      <c r="J57" s="51">
        <v>771214702.4641</v>
      </c>
      <c r="K57" s="51">
        <v>21</v>
      </c>
      <c r="L57" s="51">
        <v>95747.775724520005</v>
      </c>
      <c r="M57" s="51">
        <v>905659028.2802</v>
      </c>
      <c r="N57" s="51">
        <v>31</v>
      </c>
      <c r="O57" s="51">
        <v>61376.121865460002</v>
      </c>
      <c r="P57" s="51">
        <v>351086715.21740001</v>
      </c>
      <c r="Q57" s="51">
        <v>89</v>
      </c>
      <c r="R57" s="51">
        <v>96064.251200040002</v>
      </c>
      <c r="S57" s="51">
        <v>600283376.81200004</v>
      </c>
    </row>
    <row r="58" spans="1:19" s="51" customFormat="1">
      <c r="A58" s="51">
        <f t="shared" si="0"/>
        <v>56</v>
      </c>
      <c r="B58" s="51">
        <v>29</v>
      </c>
      <c r="C58" s="51">
        <v>30091.492441310002</v>
      </c>
      <c r="D58" s="51">
        <v>1296174277.4590001</v>
      </c>
      <c r="E58" s="51">
        <v>44</v>
      </c>
      <c r="F58" s="51">
        <v>25619.28424397</v>
      </c>
      <c r="G58" s="51">
        <v>513969215.2112</v>
      </c>
      <c r="H58" s="51">
        <v>61</v>
      </c>
      <c r="I58" s="51">
        <v>146128.71424890001</v>
      </c>
      <c r="J58" s="51">
        <v>771214702.4641</v>
      </c>
      <c r="K58" s="51">
        <v>21</v>
      </c>
      <c r="L58" s="51">
        <v>95747.775724520005</v>
      </c>
      <c r="M58" s="51">
        <v>905659028.2802</v>
      </c>
      <c r="N58" s="51">
        <v>31</v>
      </c>
      <c r="O58" s="51">
        <v>61376.121865460002</v>
      </c>
      <c r="P58" s="51">
        <v>351086715.21740001</v>
      </c>
      <c r="Q58" s="51">
        <v>89</v>
      </c>
      <c r="R58" s="51">
        <v>96064.251200040002</v>
      </c>
      <c r="S58" s="51">
        <v>600283376.81200004</v>
      </c>
    </row>
    <row r="59" spans="1:19" s="51" customFormat="1">
      <c r="A59" s="51">
        <f t="shared" si="0"/>
        <v>57</v>
      </c>
      <c r="B59" s="49">
        <v>29</v>
      </c>
      <c r="C59" s="51">
        <v>30091.492441310002</v>
      </c>
      <c r="D59" s="51">
        <v>1296174277.4590001</v>
      </c>
      <c r="E59" s="51">
        <v>44</v>
      </c>
      <c r="F59" s="51">
        <v>25619.28424397</v>
      </c>
      <c r="G59" s="51">
        <v>513969215.2112</v>
      </c>
      <c r="H59" s="49">
        <v>61</v>
      </c>
      <c r="I59" s="51">
        <v>146128.71424890001</v>
      </c>
      <c r="J59" s="51">
        <v>771214702.4641</v>
      </c>
      <c r="K59" s="49">
        <v>21.149999999999991</v>
      </c>
      <c r="L59" s="51">
        <v>97149.533203419996</v>
      </c>
      <c r="M59" s="51">
        <v>905659028.2802</v>
      </c>
      <c r="N59" s="49">
        <v>130</v>
      </c>
      <c r="O59" s="51">
        <v>36074.462968120002</v>
      </c>
      <c r="P59" s="51">
        <v>361557220.44419998</v>
      </c>
      <c r="Q59" s="51">
        <v>89</v>
      </c>
      <c r="R59" s="51">
        <v>96064.251200040002</v>
      </c>
      <c r="S59" s="51">
        <v>600283376.81200004</v>
      </c>
    </row>
    <row r="60" spans="1:19" s="51" customFormat="1">
      <c r="A60" s="51">
        <f t="shared" si="0"/>
        <v>58</v>
      </c>
      <c r="B60" s="51">
        <v>29</v>
      </c>
      <c r="C60" s="51">
        <v>30091.492441310002</v>
      </c>
      <c r="D60" s="51">
        <v>1296174277.4590001</v>
      </c>
      <c r="E60" s="51">
        <v>44</v>
      </c>
      <c r="F60" s="51">
        <v>25619.28424397</v>
      </c>
      <c r="G60" s="51">
        <v>513969215.2112</v>
      </c>
      <c r="H60" s="51">
        <v>61</v>
      </c>
      <c r="I60" s="51">
        <v>146128.71424890001</v>
      </c>
      <c r="J60" s="51">
        <v>771214702.4641</v>
      </c>
      <c r="K60" s="51">
        <v>22</v>
      </c>
      <c r="L60" s="51">
        <v>97149.533203419996</v>
      </c>
      <c r="M60" s="51">
        <v>908917687.06289995</v>
      </c>
      <c r="N60" s="51">
        <v>130</v>
      </c>
      <c r="O60" s="51">
        <v>36074.462968120002</v>
      </c>
      <c r="P60" s="51">
        <v>361557220.44419998</v>
      </c>
      <c r="Q60" s="51">
        <v>89</v>
      </c>
      <c r="R60" s="51">
        <v>96064.251200040002</v>
      </c>
      <c r="S60" s="51">
        <v>600283376.81200004</v>
      </c>
    </row>
    <row r="61" spans="1:19" s="51" customFormat="1">
      <c r="A61" s="51">
        <f t="shared" si="0"/>
        <v>59</v>
      </c>
      <c r="B61" s="51">
        <v>29</v>
      </c>
      <c r="C61" s="51">
        <v>30091.492441310002</v>
      </c>
      <c r="D61" s="51">
        <v>1296174277.4590001</v>
      </c>
      <c r="E61" s="51">
        <v>44</v>
      </c>
      <c r="F61" s="51">
        <v>25619.28424397</v>
      </c>
      <c r="G61" s="51">
        <v>513969215.2112</v>
      </c>
      <c r="H61" s="51">
        <v>61</v>
      </c>
      <c r="I61" s="51">
        <v>146128.71424890001</v>
      </c>
      <c r="J61" s="51">
        <v>771214702.4641</v>
      </c>
      <c r="K61" s="51">
        <v>22</v>
      </c>
      <c r="L61" s="51">
        <v>97149.533203419996</v>
      </c>
      <c r="M61" s="51">
        <v>908917687.06289995</v>
      </c>
      <c r="N61" s="51">
        <v>130</v>
      </c>
      <c r="O61" s="51">
        <v>36074.462968120002</v>
      </c>
      <c r="P61" s="51">
        <v>361557220.44419998</v>
      </c>
      <c r="Q61" s="51">
        <v>89</v>
      </c>
      <c r="R61" s="51">
        <v>96064.251200040002</v>
      </c>
      <c r="S61" s="51">
        <v>600283376.81200004</v>
      </c>
    </row>
    <row r="62" spans="1:19" s="51" customFormat="1">
      <c r="A62" s="51">
        <f t="shared" si="0"/>
        <v>60</v>
      </c>
      <c r="B62" s="51">
        <v>29</v>
      </c>
      <c r="C62" s="51">
        <v>30091.492441310002</v>
      </c>
      <c r="D62" s="51">
        <v>1296174277.4590001</v>
      </c>
      <c r="E62" s="51">
        <v>44</v>
      </c>
      <c r="F62" s="51">
        <v>25619.28424397</v>
      </c>
      <c r="G62" s="51">
        <v>513969215.2112</v>
      </c>
      <c r="H62" s="51">
        <v>61</v>
      </c>
      <c r="I62" s="51">
        <v>146128.71424890001</v>
      </c>
      <c r="J62" s="51">
        <v>771214702.4641</v>
      </c>
      <c r="K62" s="51">
        <v>22</v>
      </c>
      <c r="L62" s="51">
        <v>97149.533203419996</v>
      </c>
      <c r="M62" s="51">
        <v>908917687.06289995</v>
      </c>
      <c r="N62" s="51">
        <v>130</v>
      </c>
      <c r="O62" s="51">
        <v>36074.462968120002</v>
      </c>
      <c r="P62" s="51">
        <v>361557220.44419998</v>
      </c>
      <c r="Q62" s="51">
        <v>89</v>
      </c>
      <c r="R62" s="51">
        <v>96064.251200040002</v>
      </c>
      <c r="S62" s="51">
        <v>600283376.81200004</v>
      </c>
    </row>
    <row r="63" spans="1:19" s="51" customFormat="1">
      <c r="A63" s="51">
        <f t="shared" si="0"/>
        <v>61</v>
      </c>
      <c r="B63" s="51">
        <v>29</v>
      </c>
      <c r="C63" s="51">
        <v>30091.492441310002</v>
      </c>
      <c r="D63" s="51">
        <v>1296174277.4590001</v>
      </c>
      <c r="E63" s="51">
        <v>44</v>
      </c>
      <c r="F63" s="51">
        <v>25619.28424397</v>
      </c>
      <c r="G63" s="51">
        <v>513969215.2112</v>
      </c>
      <c r="H63" s="51">
        <v>61</v>
      </c>
      <c r="I63" s="51">
        <v>146128.71424890001</v>
      </c>
      <c r="J63" s="51">
        <v>771214702.4641</v>
      </c>
      <c r="K63" s="51">
        <v>22</v>
      </c>
      <c r="L63" s="51">
        <v>97149.533203419996</v>
      </c>
      <c r="M63" s="51">
        <v>908917687.06289995</v>
      </c>
      <c r="N63" s="51">
        <v>130</v>
      </c>
      <c r="O63" s="51">
        <v>36074.462968120002</v>
      </c>
      <c r="P63" s="51">
        <v>361557220.44419998</v>
      </c>
      <c r="Q63" s="51">
        <v>92</v>
      </c>
      <c r="R63" s="51">
        <v>95737.849642450004</v>
      </c>
      <c r="S63" s="51">
        <v>597064838.03770006</v>
      </c>
    </row>
    <row r="64" spans="1:19" s="51" customFormat="1">
      <c r="A64" s="51">
        <f t="shared" si="0"/>
        <v>62</v>
      </c>
      <c r="B64" s="51">
        <v>29</v>
      </c>
      <c r="C64" s="51">
        <v>30091.492441310002</v>
      </c>
      <c r="D64" s="51">
        <v>1296174277.4590001</v>
      </c>
      <c r="E64" s="51">
        <v>44</v>
      </c>
      <c r="F64" s="51">
        <v>25619.28424397</v>
      </c>
      <c r="G64" s="51">
        <v>513969215.2112</v>
      </c>
      <c r="H64" s="51">
        <v>61</v>
      </c>
      <c r="I64" s="51">
        <v>146128.71424890001</v>
      </c>
      <c r="J64" s="51">
        <v>771214702.4641</v>
      </c>
      <c r="K64" s="51">
        <v>22</v>
      </c>
      <c r="L64" s="51">
        <v>97149.533203419996</v>
      </c>
      <c r="M64" s="51">
        <v>908917687.06289995</v>
      </c>
      <c r="N64" s="51">
        <v>130</v>
      </c>
      <c r="O64" s="51">
        <v>36074.462968120002</v>
      </c>
      <c r="P64" s="51">
        <v>361557220.44419998</v>
      </c>
      <c r="Q64" s="51">
        <v>92</v>
      </c>
      <c r="R64" s="51">
        <v>95737.849642450004</v>
      </c>
      <c r="S64" s="51">
        <v>597064838.03770006</v>
      </c>
    </row>
    <row r="65" spans="1:19" s="51" customFormat="1">
      <c r="A65" s="51">
        <f t="shared" si="0"/>
        <v>63</v>
      </c>
      <c r="B65" s="51">
        <v>29</v>
      </c>
      <c r="C65" s="51">
        <v>30091.492441310002</v>
      </c>
      <c r="D65" s="51">
        <v>1296174277.4590001</v>
      </c>
      <c r="E65" s="51">
        <v>44</v>
      </c>
      <c r="F65" s="51">
        <v>25619.28424397</v>
      </c>
      <c r="G65" s="51">
        <v>513969215.2112</v>
      </c>
      <c r="H65" s="51">
        <v>61</v>
      </c>
      <c r="I65" s="51">
        <v>146128.71424890001</v>
      </c>
      <c r="J65" s="51">
        <v>771214702.4641</v>
      </c>
      <c r="K65" s="51">
        <v>22</v>
      </c>
      <c r="L65" s="51">
        <v>97149.533203419996</v>
      </c>
      <c r="M65" s="51">
        <v>908917687.06289995</v>
      </c>
      <c r="N65" s="51">
        <v>130</v>
      </c>
      <c r="O65" s="51">
        <v>36074.462968120002</v>
      </c>
      <c r="P65" s="51">
        <v>361557220.44419998</v>
      </c>
      <c r="Q65" s="51">
        <v>92</v>
      </c>
      <c r="R65" s="51">
        <v>95737.849642450004</v>
      </c>
      <c r="S65" s="51">
        <v>597064838.03770006</v>
      </c>
    </row>
    <row r="66" spans="1:19" s="51" customFormat="1">
      <c r="A66" s="51">
        <f t="shared" si="0"/>
        <v>64</v>
      </c>
      <c r="B66" s="51">
        <v>29</v>
      </c>
      <c r="C66" s="51">
        <v>30091.492441310002</v>
      </c>
      <c r="D66" s="51">
        <v>1296174277.4590001</v>
      </c>
      <c r="E66" s="49">
        <v>56.480000000000103</v>
      </c>
      <c r="F66" s="51">
        <v>20714.905722579999</v>
      </c>
      <c r="G66" s="51">
        <v>483379663.38870001</v>
      </c>
      <c r="H66" s="51">
        <v>61</v>
      </c>
      <c r="I66" s="51">
        <v>146128.71424890001</v>
      </c>
      <c r="J66" s="51">
        <v>771214702.4641</v>
      </c>
      <c r="K66" s="49">
        <v>22</v>
      </c>
      <c r="L66" s="51">
        <v>97149.533203419996</v>
      </c>
      <c r="M66" s="51">
        <v>908917687.06289995</v>
      </c>
      <c r="N66" s="51">
        <v>130</v>
      </c>
      <c r="O66" s="51">
        <v>36074.462968120002</v>
      </c>
      <c r="P66" s="51">
        <v>361557220.44419998</v>
      </c>
      <c r="Q66" s="49">
        <v>92</v>
      </c>
      <c r="R66" s="51">
        <v>95737.849642450004</v>
      </c>
      <c r="S66" s="51">
        <v>597064838.03770006</v>
      </c>
    </row>
    <row r="67" spans="1:19" s="51" customFormat="1">
      <c r="A67" s="51">
        <f t="shared" si="0"/>
        <v>65</v>
      </c>
      <c r="B67" s="51">
        <v>29</v>
      </c>
      <c r="C67" s="51">
        <v>30091.492441310002</v>
      </c>
      <c r="D67" s="51">
        <v>1296174277.4590001</v>
      </c>
      <c r="E67" s="49">
        <v>70</v>
      </c>
      <c r="F67" s="51">
        <v>20576.480003730001</v>
      </c>
      <c r="G67" s="51">
        <v>454325936.9788</v>
      </c>
      <c r="H67" s="49">
        <v>70</v>
      </c>
      <c r="I67" s="51">
        <v>144167.0459233</v>
      </c>
      <c r="J67" s="51">
        <v>781437717.80159998</v>
      </c>
      <c r="K67" s="51">
        <v>22</v>
      </c>
      <c r="L67" s="51">
        <v>97149.533203419996</v>
      </c>
      <c r="M67" s="51">
        <v>908917687.06289995</v>
      </c>
      <c r="N67" s="51">
        <v>130</v>
      </c>
      <c r="O67" s="51">
        <v>36074.462968120002</v>
      </c>
      <c r="P67" s="51">
        <v>361557220.44419998</v>
      </c>
      <c r="Q67" s="51">
        <v>92</v>
      </c>
      <c r="R67" s="51">
        <v>95737.849642450004</v>
      </c>
      <c r="S67" s="51">
        <v>597064838.03770006</v>
      </c>
    </row>
    <row r="68" spans="1:19" s="51" customFormat="1">
      <c r="A68" s="51">
        <f t="shared" si="0"/>
        <v>66</v>
      </c>
      <c r="B68" s="51">
        <v>29</v>
      </c>
      <c r="C68" s="51">
        <v>30091.492441310002</v>
      </c>
      <c r="D68" s="51">
        <v>1296174277.4590001</v>
      </c>
      <c r="E68" s="51">
        <v>70</v>
      </c>
      <c r="F68" s="51">
        <v>20576.480003730001</v>
      </c>
      <c r="G68" s="51">
        <v>454325936.9788</v>
      </c>
      <c r="H68" s="51">
        <v>70</v>
      </c>
      <c r="I68" s="51">
        <v>144167.0459233</v>
      </c>
      <c r="J68" s="51">
        <v>781437717.80159998</v>
      </c>
      <c r="K68" s="51">
        <v>22</v>
      </c>
      <c r="L68" s="51">
        <v>97149.533203419996</v>
      </c>
      <c r="M68" s="51">
        <v>908917687.06289995</v>
      </c>
      <c r="N68" s="51">
        <v>130</v>
      </c>
      <c r="O68" s="51">
        <v>36074.462968120002</v>
      </c>
      <c r="P68" s="51">
        <v>361557220.44419998</v>
      </c>
      <c r="Q68" s="51">
        <v>92</v>
      </c>
      <c r="R68" s="51">
        <v>95737.849642450004</v>
      </c>
      <c r="S68" s="51">
        <v>597064838.03770006</v>
      </c>
    </row>
    <row r="69" spans="1:19" s="51" customFormat="1">
      <c r="A69" s="51">
        <f t="shared" ref="A69:A99" si="1">A68+1</f>
        <v>67</v>
      </c>
      <c r="B69" s="51">
        <v>29</v>
      </c>
      <c r="C69" s="51">
        <v>30091.492441310002</v>
      </c>
      <c r="D69" s="51">
        <v>1296174277.4590001</v>
      </c>
      <c r="E69" s="49">
        <v>71.320000000000036</v>
      </c>
      <c r="F69" s="51">
        <v>20305.147104650001</v>
      </c>
      <c r="G69" s="51">
        <v>452435738.35350001</v>
      </c>
      <c r="H69" s="51">
        <v>70</v>
      </c>
      <c r="I69" s="51">
        <v>144167.0459233</v>
      </c>
      <c r="J69" s="51">
        <v>781437717.80159998</v>
      </c>
      <c r="K69" s="51">
        <v>22</v>
      </c>
      <c r="L69" s="51">
        <v>97149.533203419996</v>
      </c>
      <c r="M69" s="51">
        <v>908917687.06289995</v>
      </c>
      <c r="N69" s="51">
        <v>130</v>
      </c>
      <c r="O69" s="51">
        <v>36074.462968120002</v>
      </c>
      <c r="P69" s="51">
        <v>361557220.44419998</v>
      </c>
      <c r="Q69" s="51">
        <v>92</v>
      </c>
      <c r="R69" s="51">
        <v>95737.849642450004</v>
      </c>
      <c r="S69" s="51">
        <v>597064838.03770006</v>
      </c>
    </row>
    <row r="70" spans="1:19" s="51" customFormat="1">
      <c r="A70" s="51">
        <f t="shared" si="1"/>
        <v>68</v>
      </c>
      <c r="B70" s="51">
        <v>29</v>
      </c>
      <c r="C70" s="51">
        <v>30091.492441310002</v>
      </c>
      <c r="D70" s="51">
        <v>1296174277.4590001</v>
      </c>
      <c r="E70" s="51">
        <v>73</v>
      </c>
      <c r="F70" s="51">
        <v>20305.147104650001</v>
      </c>
      <c r="G70" s="51">
        <v>448727845.96700001</v>
      </c>
      <c r="H70" s="51">
        <v>70</v>
      </c>
      <c r="I70" s="51">
        <v>144167.0459233</v>
      </c>
      <c r="J70" s="51">
        <v>781437717.80159998</v>
      </c>
      <c r="K70" s="51">
        <v>31</v>
      </c>
      <c r="L70" s="51">
        <v>114259.56045419999</v>
      </c>
      <c r="M70" s="51">
        <v>918285254.15069997</v>
      </c>
      <c r="N70" s="51">
        <v>130</v>
      </c>
      <c r="O70" s="51">
        <v>36074.462968120002</v>
      </c>
      <c r="P70" s="51">
        <v>361557220.44419998</v>
      </c>
      <c r="Q70" s="51">
        <v>92</v>
      </c>
      <c r="R70" s="51">
        <v>95737.849642450004</v>
      </c>
      <c r="S70" s="51">
        <v>597064838.03770006</v>
      </c>
    </row>
    <row r="71" spans="1:19" s="51" customFormat="1">
      <c r="A71" s="51">
        <f t="shared" si="1"/>
        <v>69</v>
      </c>
      <c r="B71" s="51">
        <v>29</v>
      </c>
      <c r="C71" s="51">
        <v>30091.492441310002</v>
      </c>
      <c r="D71" s="51">
        <v>1296174277.4590001</v>
      </c>
      <c r="E71" s="51">
        <v>73</v>
      </c>
      <c r="F71" s="51">
        <v>20305.147104650001</v>
      </c>
      <c r="G71" s="51">
        <v>448727845.96700001</v>
      </c>
      <c r="H71" s="51">
        <v>70</v>
      </c>
      <c r="I71" s="51">
        <v>144167.0459233</v>
      </c>
      <c r="J71" s="51">
        <v>781437717.80159998</v>
      </c>
      <c r="K71" s="51">
        <v>31</v>
      </c>
      <c r="L71" s="51">
        <v>114259.56045419999</v>
      </c>
      <c r="M71" s="51">
        <v>918285254.15069997</v>
      </c>
      <c r="N71" s="51">
        <v>130</v>
      </c>
      <c r="O71" s="51">
        <v>36074.462968120002</v>
      </c>
      <c r="P71" s="51">
        <v>361557220.44419998</v>
      </c>
      <c r="Q71" s="51">
        <v>92</v>
      </c>
      <c r="R71" s="51">
        <v>95737.849642450004</v>
      </c>
      <c r="S71" s="51">
        <v>597064838.03770006</v>
      </c>
    </row>
    <row r="72" spans="1:19" s="51" customFormat="1">
      <c r="A72" s="51">
        <f t="shared" si="1"/>
        <v>70</v>
      </c>
      <c r="B72" s="51">
        <v>29</v>
      </c>
      <c r="C72" s="51">
        <v>30091.492441310002</v>
      </c>
      <c r="D72" s="51">
        <v>1296174277.4590001</v>
      </c>
      <c r="E72" s="51">
        <v>73</v>
      </c>
      <c r="F72" s="51">
        <v>20305.147104650001</v>
      </c>
      <c r="G72" s="51">
        <v>448727845.96700001</v>
      </c>
      <c r="H72" s="51">
        <v>70</v>
      </c>
      <c r="I72" s="51">
        <v>144167.0459233</v>
      </c>
      <c r="J72" s="51">
        <v>781437717.80159998</v>
      </c>
      <c r="K72" s="51">
        <v>31</v>
      </c>
      <c r="L72" s="51">
        <v>114259.56045419999</v>
      </c>
      <c r="M72" s="51">
        <v>918285254.15069997</v>
      </c>
      <c r="N72" s="51">
        <v>130</v>
      </c>
      <c r="O72" s="51">
        <v>36074.462968120002</v>
      </c>
      <c r="P72" s="51">
        <v>361557220.44419998</v>
      </c>
      <c r="Q72" s="51">
        <v>92</v>
      </c>
      <c r="R72" s="51">
        <v>95737.849642450004</v>
      </c>
      <c r="S72" s="51">
        <v>597064838.03770006</v>
      </c>
    </row>
    <row r="73" spans="1:19" s="51" customFormat="1">
      <c r="A73" s="51">
        <f t="shared" si="1"/>
        <v>71</v>
      </c>
      <c r="B73" s="51">
        <v>29</v>
      </c>
      <c r="C73" s="51">
        <v>30091.492441310002</v>
      </c>
      <c r="D73" s="51">
        <v>1296174277.4590001</v>
      </c>
      <c r="E73" s="49">
        <v>73</v>
      </c>
      <c r="F73" s="51">
        <v>20305.147104650001</v>
      </c>
      <c r="G73" s="51">
        <v>448727845.96700001</v>
      </c>
      <c r="H73" s="49">
        <v>104</v>
      </c>
      <c r="I73" s="51">
        <v>144161.41895369999</v>
      </c>
      <c r="J73" s="51">
        <v>816270433.92879999</v>
      </c>
      <c r="K73" s="49">
        <v>31</v>
      </c>
      <c r="L73" s="51">
        <v>114259.56045419999</v>
      </c>
      <c r="M73" s="51">
        <v>918285254.15069997</v>
      </c>
      <c r="N73" s="51">
        <v>130</v>
      </c>
      <c r="O73" s="51">
        <v>36074.462968120002</v>
      </c>
      <c r="P73" s="51">
        <v>361557220.44419998</v>
      </c>
      <c r="Q73" s="51">
        <v>92</v>
      </c>
      <c r="R73" s="51">
        <v>95737.849642450004</v>
      </c>
      <c r="S73" s="51">
        <v>597064838.03770006</v>
      </c>
    </row>
    <row r="74" spans="1:19" s="51" customFormat="1">
      <c r="A74" s="51">
        <f t="shared" si="1"/>
        <v>72</v>
      </c>
      <c r="B74" s="51">
        <v>29</v>
      </c>
      <c r="C74" s="51">
        <v>30091.492441310002</v>
      </c>
      <c r="D74" s="51">
        <v>1296174277.4590001</v>
      </c>
      <c r="E74" s="51">
        <v>73</v>
      </c>
      <c r="F74" s="51">
        <v>20305.147104650001</v>
      </c>
      <c r="G74" s="51">
        <v>448727845.96700001</v>
      </c>
      <c r="H74" s="51">
        <v>104</v>
      </c>
      <c r="I74" s="51">
        <v>144161.41895369999</v>
      </c>
      <c r="J74" s="51">
        <v>816270433.92879999</v>
      </c>
      <c r="K74" s="51">
        <v>31</v>
      </c>
      <c r="L74" s="51">
        <v>114259.56045419999</v>
      </c>
      <c r="M74" s="51">
        <v>918285254.15069997</v>
      </c>
      <c r="N74" s="51">
        <v>130</v>
      </c>
      <c r="O74" s="51">
        <v>36074.462968120002</v>
      </c>
      <c r="P74" s="51">
        <v>361557220.44419998</v>
      </c>
      <c r="Q74" s="51">
        <v>92</v>
      </c>
      <c r="R74" s="51">
        <v>95737.849642450004</v>
      </c>
      <c r="S74" s="51">
        <v>597064838.03770006</v>
      </c>
    </row>
    <row r="75" spans="1:19" s="51" customFormat="1">
      <c r="A75" s="51">
        <f t="shared" si="1"/>
        <v>73</v>
      </c>
      <c r="B75" s="51">
        <v>29</v>
      </c>
      <c r="C75" s="51">
        <v>30091.492441310002</v>
      </c>
      <c r="D75" s="51">
        <v>1296174277.4590001</v>
      </c>
      <c r="E75" s="51">
        <v>73</v>
      </c>
      <c r="F75" s="51">
        <v>20305.147104650001</v>
      </c>
      <c r="G75" s="51">
        <v>448727845.96700001</v>
      </c>
      <c r="H75" s="51">
        <v>104</v>
      </c>
      <c r="I75" s="51">
        <v>144161.41895369999</v>
      </c>
      <c r="J75" s="51">
        <v>816270433.92879999</v>
      </c>
      <c r="K75" s="51">
        <v>31</v>
      </c>
      <c r="L75" s="51">
        <v>114259.56045419999</v>
      </c>
      <c r="M75" s="51">
        <v>918285254.15069997</v>
      </c>
      <c r="N75" s="51">
        <v>130</v>
      </c>
      <c r="O75" s="51">
        <v>36074.462968120002</v>
      </c>
      <c r="P75" s="51">
        <v>361557220.44419998</v>
      </c>
      <c r="Q75" s="51">
        <v>92</v>
      </c>
      <c r="R75" s="51">
        <v>95737.849642450004</v>
      </c>
      <c r="S75" s="51">
        <v>597064838.03770006</v>
      </c>
    </row>
    <row r="76" spans="1:19" s="51" customFormat="1">
      <c r="A76" s="51">
        <f t="shared" si="1"/>
        <v>74</v>
      </c>
      <c r="B76" s="51">
        <v>29</v>
      </c>
      <c r="C76" s="51">
        <v>30091.492441310002</v>
      </c>
      <c r="D76" s="51">
        <v>1296174277.4590001</v>
      </c>
      <c r="E76" s="51">
        <v>73</v>
      </c>
      <c r="F76" s="51">
        <v>20305.147104650001</v>
      </c>
      <c r="G76" s="51">
        <v>448727845.96700001</v>
      </c>
      <c r="H76" s="51">
        <v>104</v>
      </c>
      <c r="I76" s="51">
        <v>144161.41895369999</v>
      </c>
      <c r="J76" s="51">
        <v>816270433.92879999</v>
      </c>
      <c r="K76" s="51">
        <v>31</v>
      </c>
      <c r="L76" s="51">
        <v>114259.56045419999</v>
      </c>
      <c r="M76" s="51">
        <v>918285254.15069997</v>
      </c>
      <c r="N76" s="51">
        <v>130</v>
      </c>
      <c r="O76" s="51">
        <v>36074.462968120002</v>
      </c>
      <c r="P76" s="51">
        <v>361557220.44419998</v>
      </c>
      <c r="Q76" s="51">
        <v>92</v>
      </c>
      <c r="R76" s="51">
        <v>95737.849642450004</v>
      </c>
      <c r="S76" s="51">
        <v>597064838.03770006</v>
      </c>
    </row>
    <row r="77" spans="1:19" s="51" customFormat="1">
      <c r="A77" s="51">
        <f t="shared" si="1"/>
        <v>75</v>
      </c>
      <c r="B77" s="51">
        <v>29</v>
      </c>
      <c r="C77" s="51">
        <v>30091.492441310002</v>
      </c>
      <c r="D77" s="51">
        <v>1296174277.4590001</v>
      </c>
      <c r="E77" s="51">
        <v>73</v>
      </c>
      <c r="F77" s="51">
        <v>20305.147104650001</v>
      </c>
      <c r="G77" s="51">
        <v>448727845.96700001</v>
      </c>
      <c r="H77" s="51">
        <v>104</v>
      </c>
      <c r="I77" s="51">
        <v>144161.41895369999</v>
      </c>
      <c r="J77" s="51">
        <v>816270433.92879999</v>
      </c>
      <c r="K77" s="51">
        <v>32</v>
      </c>
      <c r="L77" s="51">
        <v>114259.56045419999</v>
      </c>
      <c r="M77" s="51">
        <v>915119647.26520002</v>
      </c>
      <c r="N77" s="51">
        <v>130</v>
      </c>
      <c r="O77" s="51">
        <v>36074.462968120002</v>
      </c>
      <c r="P77" s="51">
        <v>361557220.44419998</v>
      </c>
      <c r="Q77" s="51">
        <v>92</v>
      </c>
      <c r="R77" s="51">
        <v>95737.849642450004</v>
      </c>
      <c r="S77" s="51">
        <v>597064838.03770006</v>
      </c>
    </row>
    <row r="78" spans="1:19" s="51" customFormat="1">
      <c r="A78" s="51">
        <f t="shared" si="1"/>
        <v>76</v>
      </c>
      <c r="B78" s="49">
        <v>29.6400000000001</v>
      </c>
      <c r="C78" s="51">
        <v>35196.451565989999</v>
      </c>
      <c r="D78" s="51">
        <v>1295880067.5910001</v>
      </c>
      <c r="E78" s="51">
        <v>73</v>
      </c>
      <c r="F78" s="51">
        <v>20305.147104650001</v>
      </c>
      <c r="G78" s="51">
        <v>448727845.96700001</v>
      </c>
      <c r="H78" s="51">
        <v>104</v>
      </c>
      <c r="I78" s="51">
        <v>144161.41895369999</v>
      </c>
      <c r="J78" s="51">
        <v>816270433.92879999</v>
      </c>
      <c r="K78" s="49">
        <v>32</v>
      </c>
      <c r="L78" s="51">
        <v>114259.56045419999</v>
      </c>
      <c r="M78" s="51">
        <v>915119647.26520002</v>
      </c>
      <c r="N78" s="146">
        <v>130</v>
      </c>
      <c r="O78" s="51">
        <v>36074.462968120002</v>
      </c>
      <c r="P78" s="51">
        <v>361557220.44419998</v>
      </c>
      <c r="Q78" s="51">
        <v>92</v>
      </c>
      <c r="R78" s="51">
        <v>95737.849642450004</v>
      </c>
      <c r="S78" s="51">
        <v>597064838.03770006</v>
      </c>
    </row>
    <row r="79" spans="1:19" s="51" customFormat="1">
      <c r="A79" s="51">
        <f t="shared" si="1"/>
        <v>77</v>
      </c>
      <c r="B79" s="49">
        <v>37</v>
      </c>
      <c r="C79" s="51">
        <v>35196.451565989999</v>
      </c>
      <c r="D79" s="51">
        <v>1293783958.9760001</v>
      </c>
      <c r="E79" s="51">
        <v>73</v>
      </c>
      <c r="F79" s="51">
        <v>20305.147104650001</v>
      </c>
      <c r="G79" s="51">
        <v>448727845.96700001</v>
      </c>
      <c r="H79" s="49">
        <v>106.04000000000002</v>
      </c>
      <c r="I79" s="51">
        <v>143508.3407382</v>
      </c>
      <c r="J79" s="51">
        <v>815611186.89020002</v>
      </c>
      <c r="K79" s="51">
        <v>32</v>
      </c>
      <c r="L79" s="51">
        <v>114259.56045419999</v>
      </c>
      <c r="M79" s="51">
        <v>915119647.26520002</v>
      </c>
      <c r="N79" s="51">
        <v>130</v>
      </c>
      <c r="O79" s="51">
        <v>36074.462968120002</v>
      </c>
      <c r="P79" s="51">
        <v>361557220.44419998</v>
      </c>
      <c r="Q79" s="51">
        <v>92</v>
      </c>
      <c r="R79" s="51">
        <v>95737.849642450004</v>
      </c>
      <c r="S79" s="51">
        <v>597064838.03770006</v>
      </c>
    </row>
    <row r="80" spans="1:19" s="51" customFormat="1">
      <c r="A80" s="51">
        <f t="shared" si="1"/>
        <v>78</v>
      </c>
      <c r="B80" s="51">
        <v>37</v>
      </c>
      <c r="C80" s="51">
        <v>35196.451565989999</v>
      </c>
      <c r="D80" s="51">
        <v>1293783958.9760001</v>
      </c>
      <c r="E80" s="51">
        <v>73</v>
      </c>
      <c r="F80" s="51">
        <v>20305.147104650001</v>
      </c>
      <c r="G80" s="51">
        <v>448727845.96700001</v>
      </c>
      <c r="H80" s="51">
        <v>107</v>
      </c>
      <c r="I80" s="51">
        <v>143508.3407382</v>
      </c>
      <c r="J80" s="51">
        <v>815285926.39649999</v>
      </c>
      <c r="K80" s="51">
        <v>32</v>
      </c>
      <c r="L80" s="51">
        <v>114259.56045419999</v>
      </c>
      <c r="M80" s="51">
        <v>915119647.26520002</v>
      </c>
      <c r="N80" s="51">
        <v>130</v>
      </c>
      <c r="O80" s="51">
        <v>36074.462968120002</v>
      </c>
      <c r="P80" s="51">
        <v>361557220.44419998</v>
      </c>
      <c r="Q80" s="51">
        <v>92</v>
      </c>
      <c r="R80" s="51">
        <v>95737.849642450004</v>
      </c>
      <c r="S80" s="51">
        <v>597064838.03770006</v>
      </c>
    </row>
    <row r="81" spans="1:19" s="51" customFormat="1">
      <c r="A81" s="51">
        <f t="shared" si="1"/>
        <v>79</v>
      </c>
      <c r="B81" s="51">
        <v>37</v>
      </c>
      <c r="C81" s="51">
        <v>35196.451565989999</v>
      </c>
      <c r="D81" s="51">
        <v>1293783958.9760001</v>
      </c>
      <c r="E81" s="51">
        <v>73</v>
      </c>
      <c r="F81" s="51">
        <v>20305.147104650001</v>
      </c>
      <c r="G81" s="51">
        <v>448727845.96700001</v>
      </c>
      <c r="H81" s="51">
        <v>107</v>
      </c>
      <c r="I81" s="51">
        <v>143508.3407382</v>
      </c>
      <c r="J81" s="51">
        <v>815285926.39649999</v>
      </c>
      <c r="K81" s="51">
        <v>32</v>
      </c>
      <c r="L81" s="51">
        <v>114259.56045419999</v>
      </c>
      <c r="M81" s="51">
        <v>915119647.26520002</v>
      </c>
      <c r="N81" s="51">
        <v>130</v>
      </c>
      <c r="O81" s="51">
        <v>36074.462968120002</v>
      </c>
      <c r="P81" s="51">
        <v>361557220.44419998</v>
      </c>
      <c r="Q81" s="51">
        <v>92</v>
      </c>
      <c r="R81" s="51">
        <v>95737.849642450004</v>
      </c>
      <c r="S81" s="51">
        <v>597064838.03770006</v>
      </c>
    </row>
    <row r="82" spans="1:19" s="51" customFormat="1">
      <c r="A82" s="51">
        <f t="shared" si="1"/>
        <v>80</v>
      </c>
      <c r="B82" s="51">
        <v>37</v>
      </c>
      <c r="C82" s="51">
        <v>35196.451565989999</v>
      </c>
      <c r="D82" s="51">
        <v>1293783958.9760001</v>
      </c>
      <c r="E82" s="51">
        <v>73</v>
      </c>
      <c r="F82" s="51">
        <v>20305.147104650001</v>
      </c>
      <c r="G82" s="51">
        <v>448727845.96700001</v>
      </c>
      <c r="H82" s="49">
        <v>107</v>
      </c>
      <c r="I82" s="51">
        <v>143508.3407382</v>
      </c>
      <c r="J82" s="51">
        <v>815285926.39649999</v>
      </c>
      <c r="K82" s="51">
        <v>32</v>
      </c>
      <c r="L82" s="51">
        <v>114259.56045419999</v>
      </c>
      <c r="M82" s="51">
        <v>915119647.26520002</v>
      </c>
      <c r="N82" s="49">
        <v>172</v>
      </c>
      <c r="O82" s="51">
        <v>32386.862045670001</v>
      </c>
      <c r="P82" s="51">
        <v>369157762.78619999</v>
      </c>
      <c r="Q82" s="51">
        <v>92</v>
      </c>
      <c r="R82" s="51">
        <v>95737.849642450004</v>
      </c>
      <c r="S82" s="51">
        <v>597064838.03770006</v>
      </c>
    </row>
    <row r="83" spans="1:19" s="51" customFormat="1">
      <c r="A83" s="51">
        <f t="shared" si="1"/>
        <v>81</v>
      </c>
      <c r="B83" s="49">
        <v>40.680000000000291</v>
      </c>
      <c r="C83" s="51">
        <v>44518.957483079997</v>
      </c>
      <c r="D83" s="51">
        <v>1294855458.684</v>
      </c>
      <c r="E83" s="51">
        <v>73</v>
      </c>
      <c r="F83" s="51">
        <v>20305.147104650001</v>
      </c>
      <c r="G83" s="51">
        <v>448727845.96700001</v>
      </c>
      <c r="H83" s="51">
        <v>107</v>
      </c>
      <c r="I83" s="51">
        <v>143508.3407382</v>
      </c>
      <c r="J83" s="51">
        <v>815285926.39649999</v>
      </c>
      <c r="K83" s="51">
        <v>32</v>
      </c>
      <c r="L83" s="51">
        <v>114259.56045419999</v>
      </c>
      <c r="M83" s="51">
        <v>915119647.26520002</v>
      </c>
      <c r="N83" s="51">
        <v>172</v>
      </c>
      <c r="O83" s="51">
        <v>32386.862045670001</v>
      </c>
      <c r="P83" s="51">
        <v>369157762.78619999</v>
      </c>
      <c r="Q83" s="51">
        <v>92</v>
      </c>
      <c r="R83" s="51">
        <v>95737.849642450004</v>
      </c>
      <c r="S83" s="51">
        <v>597064838.03770006</v>
      </c>
    </row>
    <row r="84" spans="1:19" s="51" customFormat="1">
      <c r="A84" s="51">
        <f t="shared" si="1"/>
        <v>82</v>
      </c>
      <c r="B84" s="49">
        <v>53</v>
      </c>
      <c r="C84" s="51">
        <v>44518.957483079997</v>
      </c>
      <c r="D84" s="51">
        <v>1297338066.069</v>
      </c>
      <c r="E84" s="49">
        <v>79.239999999999867</v>
      </c>
      <c r="F84" s="51">
        <v>18613.533579759998</v>
      </c>
      <c r="G84" s="51">
        <v>442350839.3592</v>
      </c>
      <c r="H84" s="51">
        <v>107</v>
      </c>
      <c r="I84" s="51">
        <v>143508.3407382</v>
      </c>
      <c r="J84" s="51">
        <v>815285926.39649999</v>
      </c>
      <c r="K84" s="49">
        <v>45.499999999999659</v>
      </c>
      <c r="L84" s="51">
        <v>143499.13621220001</v>
      </c>
      <c r="M84" s="51">
        <v>897436784.12779999</v>
      </c>
      <c r="N84" s="51">
        <v>172</v>
      </c>
      <c r="O84" s="51">
        <v>32386.862045670001</v>
      </c>
      <c r="P84" s="51">
        <v>369157762.78619999</v>
      </c>
      <c r="Q84" s="51">
        <v>92</v>
      </c>
      <c r="R84" s="51">
        <v>95737.849642450004</v>
      </c>
      <c r="S84" s="51">
        <v>597064838.03770006</v>
      </c>
    </row>
    <row r="85" spans="1:19" s="51" customFormat="1" ht="15.75" customHeight="1">
      <c r="A85" s="51">
        <f t="shared" si="1"/>
        <v>83</v>
      </c>
      <c r="B85" s="51">
        <v>53</v>
      </c>
      <c r="C85" s="51">
        <v>44518.957483079997</v>
      </c>
      <c r="D85" s="51">
        <v>1297338066.069</v>
      </c>
      <c r="E85" s="49">
        <v>99</v>
      </c>
      <c r="F85" s="51">
        <v>18482.460657520001</v>
      </c>
      <c r="G85" s="51">
        <v>422865974.64560002</v>
      </c>
      <c r="H85" s="49">
        <v>112.75999999999999</v>
      </c>
      <c r="I85" s="51">
        <v>140012.73636489999</v>
      </c>
      <c r="J85" s="51">
        <v>811169109.54530001</v>
      </c>
      <c r="K85" s="49">
        <v>47</v>
      </c>
      <c r="L85" s="51">
        <v>143499.13621220001</v>
      </c>
      <c r="M85" s="51">
        <v>896326941.85049999</v>
      </c>
      <c r="N85" s="51">
        <v>172</v>
      </c>
      <c r="O85" s="51">
        <v>32386.862045670001</v>
      </c>
      <c r="P85" s="51">
        <v>369157762.78619999</v>
      </c>
      <c r="Q85" s="49">
        <v>115</v>
      </c>
      <c r="R85" s="51">
        <v>90307.820875429999</v>
      </c>
      <c r="S85" s="51">
        <v>599575967.82210004</v>
      </c>
    </row>
    <row r="86" spans="1:19" s="51" customFormat="1">
      <c r="A86" s="51">
        <f t="shared" si="1"/>
        <v>84</v>
      </c>
      <c r="B86" s="51">
        <v>53</v>
      </c>
      <c r="C86" s="51">
        <v>44518.957483079997</v>
      </c>
      <c r="D86" s="51">
        <v>1297338066.069</v>
      </c>
      <c r="E86" s="51">
        <v>99</v>
      </c>
      <c r="F86" s="51">
        <v>18482.460657520001</v>
      </c>
      <c r="G86" s="51">
        <v>422865974.64560002</v>
      </c>
      <c r="H86" s="51">
        <v>115</v>
      </c>
      <c r="I86" s="51">
        <v>140012.73636489999</v>
      </c>
      <c r="J86" s="51">
        <v>809826939.18570006</v>
      </c>
      <c r="K86" s="51">
        <v>47</v>
      </c>
      <c r="L86" s="51">
        <v>143499.13621220001</v>
      </c>
      <c r="M86" s="51">
        <v>896326941.85049999</v>
      </c>
      <c r="N86" s="51">
        <v>172</v>
      </c>
      <c r="O86" s="51">
        <v>32386.862045670001</v>
      </c>
      <c r="P86" s="51">
        <v>369157762.78619999</v>
      </c>
      <c r="Q86" s="51">
        <v>115</v>
      </c>
      <c r="R86" s="51">
        <v>90307.820875429999</v>
      </c>
      <c r="S86" s="51">
        <v>599575967.82210004</v>
      </c>
    </row>
    <row r="87" spans="1:19" s="51" customFormat="1">
      <c r="A87" s="51">
        <f t="shared" si="1"/>
        <v>85</v>
      </c>
      <c r="B87" s="51">
        <v>53</v>
      </c>
      <c r="C87" s="51">
        <v>44518.957483079997</v>
      </c>
      <c r="D87" s="51">
        <v>1297338066.069</v>
      </c>
      <c r="E87" s="146">
        <v>99</v>
      </c>
      <c r="F87" s="51">
        <v>18482.460657520001</v>
      </c>
      <c r="G87" s="51">
        <v>422865974.64560002</v>
      </c>
      <c r="H87" s="51">
        <v>115</v>
      </c>
      <c r="I87" s="51">
        <v>140012.73636489999</v>
      </c>
      <c r="J87" s="51">
        <v>809826939.18570006</v>
      </c>
      <c r="K87" s="51">
        <v>47</v>
      </c>
      <c r="L87" s="51">
        <v>143499.13621220001</v>
      </c>
      <c r="M87" s="51">
        <v>896326941.85049999</v>
      </c>
      <c r="N87" s="51">
        <v>172</v>
      </c>
      <c r="O87" s="51">
        <v>32386.862045670001</v>
      </c>
      <c r="P87" s="51">
        <v>369157762.78619999</v>
      </c>
      <c r="Q87" s="51">
        <v>115</v>
      </c>
      <c r="R87" s="51">
        <v>90307.820875429999</v>
      </c>
      <c r="S87" s="51">
        <v>599575967.82210004</v>
      </c>
    </row>
    <row r="88" spans="1:19" s="51" customFormat="1">
      <c r="A88" s="51">
        <f t="shared" si="1"/>
        <v>86</v>
      </c>
      <c r="B88" s="51">
        <v>53</v>
      </c>
      <c r="C88" s="51">
        <v>44518.957483079997</v>
      </c>
      <c r="D88" s="51">
        <v>1297338066.069</v>
      </c>
      <c r="E88" s="51">
        <v>99</v>
      </c>
      <c r="F88" s="51">
        <v>18482.460657520001</v>
      </c>
      <c r="G88" s="51">
        <v>422865974.64560002</v>
      </c>
      <c r="H88" s="51">
        <v>115</v>
      </c>
      <c r="I88" s="51">
        <v>140012.73636489999</v>
      </c>
      <c r="J88" s="51">
        <v>809826939.18570006</v>
      </c>
      <c r="K88" s="51">
        <v>47</v>
      </c>
      <c r="L88" s="51">
        <v>143499.13621220001</v>
      </c>
      <c r="M88" s="51">
        <v>896326941.85049999</v>
      </c>
      <c r="N88" s="51">
        <v>172</v>
      </c>
      <c r="O88" s="51">
        <v>32386.862045670001</v>
      </c>
      <c r="P88" s="51">
        <v>369157762.78619999</v>
      </c>
      <c r="Q88" s="51">
        <v>115</v>
      </c>
      <c r="R88" s="51">
        <v>90307.820875429999</v>
      </c>
      <c r="S88" s="51">
        <v>599575967.82210004</v>
      </c>
    </row>
    <row r="89" spans="1:19" s="51" customFormat="1">
      <c r="A89" s="51">
        <f t="shared" si="1"/>
        <v>87</v>
      </c>
      <c r="B89" s="51">
        <v>53</v>
      </c>
      <c r="C89" s="51">
        <v>44518.957483079997</v>
      </c>
      <c r="D89" s="51">
        <v>1297338066.069</v>
      </c>
      <c r="E89" s="49">
        <v>102.36000000000001</v>
      </c>
      <c r="F89" s="51">
        <v>90307.820875429999</v>
      </c>
      <c r="G89" s="51">
        <v>420685223.11430001</v>
      </c>
      <c r="H89" s="49">
        <v>115</v>
      </c>
      <c r="I89" s="51">
        <v>140012.73636489999</v>
      </c>
      <c r="J89" s="51">
        <v>809826939.18570006</v>
      </c>
      <c r="K89" s="51">
        <v>47</v>
      </c>
      <c r="L89" s="51">
        <v>143499.13621220001</v>
      </c>
      <c r="M89" s="51">
        <v>896326941.85049999</v>
      </c>
      <c r="N89" s="49">
        <v>264</v>
      </c>
      <c r="O89" s="51">
        <v>28279.261679200001</v>
      </c>
      <c r="P89" s="51">
        <v>390742361.38370001</v>
      </c>
      <c r="Q89" s="51">
        <v>115</v>
      </c>
      <c r="R89" s="51">
        <v>90307.820875429999</v>
      </c>
      <c r="S89" s="51">
        <v>599575967.82210004</v>
      </c>
    </row>
    <row r="90" spans="1:19" s="51" customFormat="1">
      <c r="A90" s="51">
        <f t="shared" si="1"/>
        <v>88</v>
      </c>
      <c r="B90" s="51">
        <v>71</v>
      </c>
      <c r="C90" s="51">
        <v>41144.11035055</v>
      </c>
      <c r="D90" s="51">
        <v>1330695675.7049999</v>
      </c>
      <c r="E90" s="51">
        <v>120</v>
      </c>
      <c r="F90" s="51">
        <v>17113.065286730001</v>
      </c>
      <c r="G90" s="51">
        <v>408411407.73449999</v>
      </c>
      <c r="H90" s="51">
        <v>115</v>
      </c>
      <c r="I90" s="51">
        <v>140012.73636489999</v>
      </c>
      <c r="J90" s="51">
        <v>809826939.18570006</v>
      </c>
      <c r="K90" s="51">
        <v>47</v>
      </c>
      <c r="L90" s="51">
        <v>143499.13621220001</v>
      </c>
      <c r="M90" s="51">
        <v>896326941.85049999</v>
      </c>
      <c r="N90" s="51">
        <v>264</v>
      </c>
      <c r="O90" s="51">
        <v>28279.261679200001</v>
      </c>
      <c r="P90" s="51">
        <v>390742361.38370001</v>
      </c>
      <c r="Q90" s="51">
        <v>115</v>
      </c>
      <c r="R90" s="51">
        <v>90307.820875429999</v>
      </c>
      <c r="S90" s="51">
        <v>599575967.82210004</v>
      </c>
    </row>
    <row r="91" spans="1:19" s="51" customFormat="1">
      <c r="A91" s="51">
        <f t="shared" si="1"/>
        <v>89</v>
      </c>
      <c r="B91" s="51">
        <v>71</v>
      </c>
      <c r="C91" s="51">
        <v>41144.11035055</v>
      </c>
      <c r="D91" s="51">
        <v>1330695675.7049999</v>
      </c>
      <c r="E91" s="51">
        <v>120</v>
      </c>
      <c r="F91" s="51">
        <v>17113.065286730001</v>
      </c>
      <c r="G91" s="51">
        <v>408411407.73449999</v>
      </c>
      <c r="H91" s="51">
        <v>115</v>
      </c>
      <c r="I91" s="51">
        <v>140012.73636489999</v>
      </c>
      <c r="J91" s="51">
        <v>809826939.18570006</v>
      </c>
      <c r="K91" s="51">
        <v>47</v>
      </c>
      <c r="L91" s="51">
        <v>143499.13621220001</v>
      </c>
      <c r="M91" s="51">
        <v>896326941.85049999</v>
      </c>
      <c r="N91" s="51">
        <v>264</v>
      </c>
      <c r="O91" s="51">
        <v>28279.261679200001</v>
      </c>
      <c r="P91" s="51">
        <v>390742361.38370001</v>
      </c>
      <c r="Q91" s="51">
        <v>115</v>
      </c>
      <c r="R91" s="51">
        <v>90307.820875429999</v>
      </c>
      <c r="S91" s="51">
        <v>599575967.82210004</v>
      </c>
    </row>
    <row r="92" spans="1:19" s="51" customFormat="1">
      <c r="A92" s="51">
        <f t="shared" si="1"/>
        <v>90</v>
      </c>
      <c r="B92" s="49">
        <v>71</v>
      </c>
      <c r="C92" s="51">
        <v>41144.11035055</v>
      </c>
      <c r="D92" s="51">
        <v>1330695675.7049999</v>
      </c>
      <c r="E92" s="49">
        <v>120</v>
      </c>
      <c r="F92" s="51">
        <v>17113.065286730001</v>
      </c>
      <c r="G92" s="51">
        <v>408411407.73449999</v>
      </c>
      <c r="H92" s="51">
        <v>115</v>
      </c>
      <c r="I92" s="51">
        <v>140012.73636489999</v>
      </c>
      <c r="J92" s="51">
        <v>809826939.18570006</v>
      </c>
      <c r="K92" s="51">
        <v>47</v>
      </c>
      <c r="L92" s="51">
        <v>143499.13621220001</v>
      </c>
      <c r="M92" s="51">
        <v>896326941.85049999</v>
      </c>
      <c r="N92" s="51">
        <v>264</v>
      </c>
      <c r="O92" s="51">
        <v>28279.261679200001</v>
      </c>
      <c r="P92" s="51">
        <v>390742361.38370001</v>
      </c>
      <c r="Q92" s="49">
        <v>156.20000000000059</v>
      </c>
      <c r="R92" s="51">
        <v>70787.967077630004</v>
      </c>
      <c r="S92" s="51">
        <v>602136203.70159996</v>
      </c>
    </row>
    <row r="93" spans="1:19" s="51" customFormat="1">
      <c r="A93" s="51">
        <f t="shared" si="1"/>
        <v>91</v>
      </c>
      <c r="B93" s="61">
        <v>71</v>
      </c>
      <c r="C93" s="51">
        <v>41144.11035055</v>
      </c>
      <c r="D93" s="51">
        <v>1330695675.7049999</v>
      </c>
      <c r="E93" s="61">
        <v>120</v>
      </c>
      <c r="F93" s="51">
        <v>17113.065286730001</v>
      </c>
      <c r="G93" s="51">
        <v>408411407.73449999</v>
      </c>
      <c r="H93" s="61">
        <v>240</v>
      </c>
      <c r="I93" s="61">
        <v>115794.03647190001</v>
      </c>
      <c r="J93" s="51">
        <v>812856364.88399994</v>
      </c>
      <c r="K93" s="61">
        <v>51</v>
      </c>
      <c r="L93" s="61">
        <v>152436.46691739999</v>
      </c>
      <c r="M93" s="51">
        <v>895070602.86150002</v>
      </c>
      <c r="N93" s="51">
        <v>264</v>
      </c>
      <c r="O93" s="51">
        <v>28279.261679200001</v>
      </c>
      <c r="P93" s="51">
        <v>390742361.38370001</v>
      </c>
      <c r="Q93" s="51">
        <v>321</v>
      </c>
      <c r="R93" s="51">
        <v>70787.967077630004</v>
      </c>
      <c r="S93" s="51">
        <v>599770453.77149999</v>
      </c>
    </row>
    <row r="94" spans="1:19" s="51" customFormat="1">
      <c r="A94" s="51">
        <f t="shared" si="1"/>
        <v>92</v>
      </c>
      <c r="B94" s="61">
        <v>71</v>
      </c>
      <c r="C94" s="51">
        <v>41144.11035055</v>
      </c>
      <c r="D94" s="51">
        <v>1330695675.7049999</v>
      </c>
      <c r="E94" s="122">
        <v>149.48000000000081</v>
      </c>
      <c r="F94" s="61">
        <v>16319.459166729999</v>
      </c>
      <c r="G94" s="51">
        <v>396283783.42140001</v>
      </c>
      <c r="H94" s="122">
        <v>240</v>
      </c>
      <c r="I94" s="61">
        <v>115794.03647190001</v>
      </c>
      <c r="J94" s="51">
        <v>812856364.88399994</v>
      </c>
      <c r="K94" s="122">
        <v>51</v>
      </c>
      <c r="L94" s="61">
        <v>152436.46691739999</v>
      </c>
      <c r="M94" s="51">
        <v>895070602.86150002</v>
      </c>
      <c r="N94" s="51">
        <v>264</v>
      </c>
      <c r="O94" s="51">
        <v>28279.261679200001</v>
      </c>
      <c r="P94" s="51">
        <v>390742361.38370001</v>
      </c>
      <c r="Q94" s="49">
        <v>321</v>
      </c>
      <c r="R94" s="51">
        <v>70787.967077630004</v>
      </c>
      <c r="S94" s="51">
        <v>599770453.77149999</v>
      </c>
    </row>
    <row r="95" spans="1:19" s="51" customFormat="1">
      <c r="A95" s="51">
        <f t="shared" si="1"/>
        <v>93</v>
      </c>
      <c r="B95" s="61">
        <v>71</v>
      </c>
      <c r="C95" s="51">
        <v>41144.11035055</v>
      </c>
      <c r="D95" s="51">
        <v>1330695675.7049999</v>
      </c>
      <c r="E95" s="122">
        <v>187</v>
      </c>
      <c r="F95" s="61">
        <v>16319.459166729999</v>
      </c>
      <c r="G95" s="51">
        <v>381712576.99699998</v>
      </c>
      <c r="H95" s="61">
        <v>240</v>
      </c>
      <c r="I95" s="61">
        <v>115794.03647190001</v>
      </c>
      <c r="J95" s="51">
        <v>812856364.88399994</v>
      </c>
      <c r="K95" s="61">
        <v>51</v>
      </c>
      <c r="L95" s="61">
        <v>152436.46691739999</v>
      </c>
      <c r="M95" s="51">
        <v>895070602.86150002</v>
      </c>
      <c r="N95" s="49">
        <v>804</v>
      </c>
      <c r="O95" s="51">
        <v>20163.508550350001</v>
      </c>
      <c r="P95" s="51">
        <v>490199218.3319</v>
      </c>
      <c r="Q95" s="51">
        <v>321</v>
      </c>
      <c r="R95" s="51">
        <v>70787.967077630004</v>
      </c>
      <c r="S95" s="51">
        <v>599770453.77149999</v>
      </c>
    </row>
    <row r="96" spans="1:19" s="51" customFormat="1">
      <c r="A96" s="51">
        <f t="shared" si="1"/>
        <v>94</v>
      </c>
      <c r="B96" s="61">
        <v>100</v>
      </c>
      <c r="C96" s="51">
        <v>38776.975007530003</v>
      </c>
      <c r="D96" s="51">
        <v>1369739155.7349999</v>
      </c>
      <c r="E96" s="61">
        <v>187</v>
      </c>
      <c r="F96" s="61">
        <v>16319.459166729999</v>
      </c>
      <c r="G96" s="51">
        <v>381712576.99699998</v>
      </c>
      <c r="H96" s="61">
        <v>240</v>
      </c>
      <c r="I96" s="61">
        <v>115794.03647190001</v>
      </c>
      <c r="J96" s="51">
        <v>812856364.88399994</v>
      </c>
      <c r="K96" s="61">
        <v>51</v>
      </c>
      <c r="L96" s="61">
        <v>152436.46691739999</v>
      </c>
      <c r="M96" s="51">
        <v>895070602.86150002</v>
      </c>
      <c r="N96" s="51">
        <v>804</v>
      </c>
      <c r="O96" s="51">
        <v>20163.508550350001</v>
      </c>
      <c r="P96" s="51">
        <v>490199218.3319</v>
      </c>
      <c r="Q96" s="51">
        <v>321</v>
      </c>
      <c r="R96" s="51">
        <v>70787.967077630004</v>
      </c>
      <c r="S96" s="51">
        <v>599770453.77149999</v>
      </c>
    </row>
    <row r="97" spans="1:19" s="51" customFormat="1">
      <c r="A97" s="51">
        <f t="shared" si="1"/>
        <v>95</v>
      </c>
      <c r="B97" s="49">
        <v>100</v>
      </c>
      <c r="C97" s="51">
        <v>38776.975007530003</v>
      </c>
      <c r="D97" s="51">
        <v>1369739155.7349999</v>
      </c>
      <c r="E97" s="51">
        <v>187</v>
      </c>
      <c r="F97" s="61">
        <v>16319.459166729999</v>
      </c>
      <c r="G97" s="51">
        <v>381712576.99699998</v>
      </c>
      <c r="H97" s="122">
        <v>296</v>
      </c>
      <c r="I97" s="61">
        <v>105115.7603852</v>
      </c>
      <c r="J97" s="51">
        <v>824535175.32260001</v>
      </c>
      <c r="K97" s="51">
        <v>51</v>
      </c>
      <c r="L97" s="61">
        <v>152436.46691739999</v>
      </c>
      <c r="M97" s="51">
        <v>895070602.86150002</v>
      </c>
      <c r="N97" s="51">
        <v>804</v>
      </c>
      <c r="O97" s="51">
        <v>20163.508550350001</v>
      </c>
      <c r="P97" s="51">
        <v>490199218.3319</v>
      </c>
      <c r="Q97" s="51">
        <v>321</v>
      </c>
      <c r="R97" s="51">
        <v>70787.967077630004</v>
      </c>
      <c r="S97" s="51">
        <v>599770453.77149999</v>
      </c>
    </row>
    <row r="98" spans="1:19" s="51" customFormat="1">
      <c r="A98" s="51">
        <f t="shared" si="1"/>
        <v>96</v>
      </c>
      <c r="B98">
        <v>100</v>
      </c>
      <c r="C98" s="51">
        <v>38776.975007530003</v>
      </c>
      <c r="D98" s="51">
        <v>1369739155.7349999</v>
      </c>
      <c r="E98">
        <v>187</v>
      </c>
      <c r="F98" s="61">
        <v>16319.459166729999</v>
      </c>
      <c r="G98" s="51">
        <v>381712576.99699998</v>
      </c>
      <c r="H98" s="122">
        <v>395.19999999999789</v>
      </c>
      <c r="I98" s="61">
        <v>102172.5153007</v>
      </c>
      <c r="J98" s="51">
        <v>848350585.93299997</v>
      </c>
      <c r="K98">
        <v>51</v>
      </c>
      <c r="L98" s="61">
        <v>152436.46691739999</v>
      </c>
      <c r="M98" s="51">
        <v>895070602.86150002</v>
      </c>
      <c r="N98" s="122">
        <v>915</v>
      </c>
      <c r="O98" s="61">
        <v>18615.204062600002</v>
      </c>
      <c r="P98" s="51">
        <v>495632762.48949999</v>
      </c>
      <c r="Q98">
        <v>321</v>
      </c>
      <c r="R98" s="51">
        <v>70787.967077630004</v>
      </c>
      <c r="S98" s="51">
        <v>599770453.77149999</v>
      </c>
    </row>
    <row r="99" spans="1:19" s="51" customFormat="1">
      <c r="A99" s="51">
        <f t="shared" si="1"/>
        <v>97</v>
      </c>
      <c r="B99">
        <v>100</v>
      </c>
      <c r="C99" s="51">
        <v>38776.975007530003</v>
      </c>
      <c r="D99" s="51">
        <v>1369739155.7349999</v>
      </c>
      <c r="E99" s="122">
        <v>189.5199999999995</v>
      </c>
      <c r="F99" s="61">
        <v>15947.686520679999</v>
      </c>
      <c r="G99" s="51">
        <v>381465479.85290003</v>
      </c>
      <c r="H99" s="122">
        <v>451</v>
      </c>
      <c r="I99" s="61">
        <v>100386.50640519999</v>
      </c>
      <c r="J99" s="51">
        <v>860742022.33249998</v>
      </c>
      <c r="K99">
        <v>51</v>
      </c>
      <c r="L99" s="61">
        <v>152436.46691739999</v>
      </c>
      <c r="M99" s="51">
        <v>895070602.86150002</v>
      </c>
      <c r="N99" s="122">
        <v>1106</v>
      </c>
      <c r="O99" s="61">
        <v>18615.204062600002</v>
      </c>
      <c r="P99" s="51">
        <v>510460715.35089999</v>
      </c>
      <c r="Q99">
        <v>321</v>
      </c>
      <c r="R99" s="51">
        <v>70787.967077630004</v>
      </c>
      <c r="S99" s="51">
        <v>599770453.77149999</v>
      </c>
    </row>
    <row r="100" spans="1:19" s="51" customFormat="1">
      <c r="A100" s="51">
        <f>A99+1</f>
        <v>98</v>
      </c>
      <c r="B100">
        <v>100</v>
      </c>
      <c r="C100" s="51">
        <v>38776.975007530003</v>
      </c>
      <c r="D100" s="51">
        <v>1369739155.7349999</v>
      </c>
      <c r="E100">
        <v>250</v>
      </c>
      <c r="F100" s="61">
        <v>15947.686520679999</v>
      </c>
      <c r="G100" s="51">
        <v>376636793.26239997</v>
      </c>
      <c r="H100">
        <v>451</v>
      </c>
      <c r="I100" s="61">
        <v>100386.50640519999</v>
      </c>
      <c r="J100" s="51">
        <v>860742022.33249998</v>
      </c>
      <c r="K100">
        <v>51</v>
      </c>
      <c r="L100" s="61">
        <v>152436.46691739999</v>
      </c>
      <c r="M100" s="51">
        <v>895070602.86150002</v>
      </c>
      <c r="N100">
        <v>1106</v>
      </c>
      <c r="O100" s="61">
        <v>18615.204062600002</v>
      </c>
      <c r="P100" s="51">
        <v>510460715.35089999</v>
      </c>
      <c r="Q100">
        <v>321</v>
      </c>
      <c r="R100" s="51">
        <v>70787.967077630004</v>
      </c>
      <c r="S100" s="51">
        <v>599770453.77149999</v>
      </c>
    </row>
    <row r="101" spans="1:19" s="51" customFormat="1">
      <c r="A101" s="51">
        <f t="shared" ref="A101" si="2">A100+1</f>
        <v>99</v>
      </c>
      <c r="B101">
        <v>100</v>
      </c>
      <c r="C101" s="51">
        <v>38776.975007530003</v>
      </c>
      <c r="D101" s="51">
        <v>1369739155.7349999</v>
      </c>
      <c r="E101" s="122">
        <v>250</v>
      </c>
      <c r="F101" s="61">
        <v>15947.686520679999</v>
      </c>
      <c r="G101" s="51">
        <v>376636793.26239997</v>
      </c>
      <c r="H101" s="122">
        <v>574</v>
      </c>
      <c r="I101" s="61">
        <v>100386.50640519999</v>
      </c>
      <c r="J101" s="51">
        <v>894068927.27419996</v>
      </c>
      <c r="K101">
        <v>51</v>
      </c>
      <c r="L101" s="61">
        <v>152436.46691739999</v>
      </c>
      <c r="M101" s="51">
        <v>895070602.86150002</v>
      </c>
      <c r="N101">
        <v>1106</v>
      </c>
      <c r="O101" s="61">
        <v>18615.204062600002</v>
      </c>
      <c r="P101" s="51">
        <v>510460715.35089999</v>
      </c>
      <c r="Q101">
        <v>321</v>
      </c>
      <c r="R101" s="51">
        <v>70787.967077630004</v>
      </c>
      <c r="S101" s="51">
        <v>599770453.77149999</v>
      </c>
    </row>
    <row r="102" spans="1:19" s="51" customFormat="1"/>
  </sheetData>
  <mergeCells count="6">
    <mergeCell ref="Q1:S1"/>
    <mergeCell ref="B1:D1"/>
    <mergeCell ref="E1:G1"/>
    <mergeCell ref="H1:J1"/>
    <mergeCell ref="K1:M1"/>
    <mergeCell ref="N1:P1"/>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
  <sheetViews>
    <sheetView topLeftCell="D33" zoomScale="70" zoomScaleNormal="70" workbookViewId="0">
      <selection activeCell="R83" sqref="R83"/>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Val Verde</vt:lpstr>
      <vt:lpstr>County Sample Sizes</vt:lpstr>
      <vt:lpstr>Survey returns</vt:lpstr>
      <vt:lpstr>Check survey and lot logs</vt:lpstr>
      <vt:lpstr>Weights</vt:lpstr>
      <vt:lpstr>percentiles_mse</vt:lpstr>
      <vt:lpstr>Graphs</vt:lpstr>
      <vt:lpstr>'Survey returns'!Print_Area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Lissette Aliaga Linares</dc:creator>
  <cp:lastModifiedBy>Noah</cp:lastModifiedBy>
  <cp:lastPrinted>2012-08-31T14:29:14Z</cp:lastPrinted>
  <dcterms:created xsi:type="dcterms:W3CDTF">2011-12-05T21:27:42Z</dcterms:created>
  <dcterms:modified xsi:type="dcterms:W3CDTF">2012-08-31T14:29:55Z</dcterms:modified>
</cp:coreProperties>
</file>